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tabRatio="896" firstSheet="3" activeTab="9"/>
  </bookViews>
  <sheets>
    <sheet name="一般公共预算公开目录" sheetId="1" r:id="rId1"/>
    <sheet name="1一般公共预算收入" sheetId="2" r:id="rId2"/>
    <sheet name="2一般公共预算支出" sheetId="3" r:id="rId3"/>
    <sheet name="3一般公共预算本级支出（功能）" sheetId="4" r:id="rId4"/>
    <sheet name="4一般公共预算平衡" sheetId="5" r:id="rId5"/>
    <sheet name="5一般公共预算本级基本支出（政府经济分类）" sheetId="6" r:id="rId6"/>
    <sheet name="6一般公共预算本级基本支出（部门经济分类）" sheetId="7" r:id="rId7"/>
    <sheet name="7一般公共预算转移支付补助预算表" sheetId="8" r:id="rId8"/>
    <sheet name="8政府一般债务限额和余额" sheetId="9" r:id="rId9"/>
    <sheet name="9“三公”经费预算汇总表" sheetId="10" r:id="rId10"/>
  </sheets>
  <externalReferences>
    <externalReference r:id="rId13"/>
    <externalReference r:id="rId14"/>
  </externalReferences>
  <definedNames>
    <definedName name="_xlnm.Print_Area" localSheetId="3">'3一般公共预算本级支出（功能）'!$A$1:$F$446</definedName>
    <definedName name="_xlnm.Print_Titles" localSheetId="1">'1一般公共预算收入'!$1:$4</definedName>
    <definedName name="_xlnm.Print_Titles" localSheetId="2">'2一般公共预算支出'!$1:$4</definedName>
    <definedName name="_xlnm.Print_Titles" localSheetId="3">'3一般公共预算本级支出（功能）'!$1:$4</definedName>
    <definedName name="_xlnm.Print_Titles" localSheetId="7">'7一般公共预算转移支付补助预算表'!$1:$3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<sst xmlns="http://schemas.openxmlformats.org/spreadsheetml/2006/main" count="926" uniqueCount="790">
  <si>
    <t>一般公共预算公开目录</t>
  </si>
  <si>
    <t>单位：万元</t>
  </si>
  <si>
    <t>项  目</t>
  </si>
  <si>
    <t>2018年预算数</t>
  </si>
  <si>
    <t>增减额</t>
  </si>
  <si>
    <t>增减%</t>
  </si>
  <si>
    <t>一、税收收入</t>
  </si>
  <si>
    <t xml:space="preserve">      国税部门</t>
  </si>
  <si>
    <t xml:space="preserve">      地税部门</t>
  </si>
  <si>
    <t>二、非税收入</t>
  </si>
  <si>
    <t>1.专项收入</t>
  </si>
  <si>
    <t>其中：教育费附加收入</t>
  </si>
  <si>
    <t>2.行政事业性收费收入</t>
  </si>
  <si>
    <t>3.罚没收入</t>
  </si>
  <si>
    <t xml:space="preserve">      财政部门</t>
  </si>
  <si>
    <t xml:space="preserve">       单位：万元</t>
  </si>
  <si>
    <t>预算科目</t>
  </si>
  <si>
    <t>2017年调整预算</t>
  </si>
  <si>
    <t>2018预算数比2017年调整预算数</t>
  </si>
  <si>
    <t>国防支出</t>
  </si>
  <si>
    <t>公共安全支出</t>
  </si>
  <si>
    <t>教育支出</t>
  </si>
  <si>
    <t>科学技术支出</t>
  </si>
  <si>
    <t>文化体育与传媒支出</t>
  </si>
  <si>
    <t>城乡社区支出</t>
  </si>
  <si>
    <t>农林水支出</t>
  </si>
  <si>
    <t>资源勘探信息等支出</t>
  </si>
  <si>
    <t>商业服务业等支出</t>
  </si>
  <si>
    <t>国土海洋气象等支出</t>
  </si>
  <si>
    <t>预备费</t>
  </si>
  <si>
    <t>其他支出</t>
  </si>
  <si>
    <t>债务付息支出</t>
  </si>
  <si>
    <t>债务发行费用支出</t>
  </si>
  <si>
    <t>项目</t>
  </si>
  <si>
    <t>调出资金</t>
  </si>
  <si>
    <t xml:space="preserve">  人大事务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</si>
  <si>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</si>
  <si>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</si>
  <si>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</si>
  <si>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</si>
  <si>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  事业运行</t>
  </si>
  <si>
    <t xml:space="preserve">  政协事务</t>
  </si>
  <si>
    <t xml:space="preserve">    政协会议</t>
  </si>
  <si>
    <t xml:space="preserve">    委员视察</t>
  </si>
  <si>
    <t xml:space="preserve">  政府办公厅（室）及相关机构事务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</si>
  <si>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</si>
  <si>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</si>
  <si>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</si>
  <si>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</si>
  <si>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</si>
  <si>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</si>
  <si>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</si>
  <si>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</si>
  <si>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</si>
  <si>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</si>
  <si>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</si>
  <si>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</si>
  <si>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</si>
  <si>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工商行政管理事务</t>
  </si>
  <si>
    <t xml:space="preserve">  质量技术监督与检验检疫事务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</si>
  <si>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</si>
  <si>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</si>
  <si>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</si>
  <si>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</si>
  <si>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</si>
  <si>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  参政议政</t>
  </si>
  <si>
    <t xml:space="preserve">  群众团体事务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</si>
  <si>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</si>
  <si>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</si>
  <si>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</si>
  <si>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</si>
  <si>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国防动员</t>
  </si>
  <si>
    <t xml:space="preserve">    民兵</t>
  </si>
  <si>
    <t xml:space="preserve">    消防</t>
  </si>
  <si>
    <t xml:space="preserve">  公安</t>
  </si>
  <si>
    <t xml:space="preserve">    治安管理</t>
  </si>
  <si>
    <t xml:space="preserve">    道路交通管理</t>
  </si>
  <si>
    <t xml:space="preserve">    居民身份证管理</t>
  </si>
  <si>
    <t xml:space="preserve">    拘押收教场所管理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</si>
  <si>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</si>
  <si>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</si>
  <si>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</si>
  <si>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</si>
  <si>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法律援助</t>
  </si>
  <si>
    <t xml:space="preserve">  普通教育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</si>
  <si>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</si>
  <si>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</si>
  <si>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</si>
  <si>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</si>
  <si>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</si>
  <si>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特殊教育</t>
  </si>
  <si>
    <t xml:space="preserve">  进修及培训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</si>
  <si>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</si>
  <si>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</si>
  <si>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</si>
  <si>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技术研究与开发</t>
  </si>
  <si>
    <t xml:space="preserve">  科学技术普及</t>
  </si>
  <si>
    <t xml:space="preserve">  文化</t>
  </si>
  <si>
    <t xml:space="preserve">    图书馆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</si>
  <si>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</si>
  <si>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</si>
  <si>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</si>
  <si>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</si>
  <si>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</si>
  <si>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</si>
  <si>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</si>
  <si>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</si>
  <si>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</si>
  <si>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</si>
  <si>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民政管理事务</t>
  </si>
  <si>
    <t xml:space="preserve">    拥军优属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</si>
  <si>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</si>
  <si>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</si>
  <si>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</si>
  <si>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</si>
  <si>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</si>
  <si>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</si>
  <si>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就业补助</t>
  </si>
  <si>
    <t xml:space="preserve">    公益性岗位补贴</t>
  </si>
  <si>
    <t xml:space="preserve">  抚恤</t>
  </si>
  <si>
    <t xml:space="preserve">    义务兵优待</t>
  </si>
  <si>
    <t xml:space="preserve">  退役安置</t>
  </si>
  <si>
    <t xml:space="preserve">    其他退役安置支出</t>
  </si>
  <si>
    <t xml:space="preserve">  社会福利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</si>
  <si>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</si>
  <si>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</si>
  <si>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</si>
  <si>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</si>
  <si>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</si>
  <si>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红十字事业</t>
  </si>
  <si>
    <t xml:space="preserve">  临时救助</t>
  </si>
  <si>
    <t xml:space="preserve">  其他生活救助</t>
  </si>
  <si>
    <t xml:space="preserve">  公立医院</t>
  </si>
  <si>
    <t xml:space="preserve">    中医（民族）医院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</si>
  <si>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</si>
  <si>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</si>
  <si>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</si>
  <si>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</si>
  <si>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</si>
  <si>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</si>
  <si>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</si>
  <si>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</si>
  <si>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计划生育事务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</si>
  <si>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</si>
  <si>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</si>
  <si>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</si>
  <si>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事业单位医疗</t>
  </si>
  <si>
    <t xml:space="preserve">  财政对基本医疗保险基金的补助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</si>
  <si>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</si>
  <si>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</si>
  <si>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</si>
  <si>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</si>
  <si>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</si>
  <si>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自然生态保护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</si>
  <si>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</si>
  <si>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</si>
  <si>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</si>
  <si>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</si>
  <si>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</si>
  <si>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</si>
  <si>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</si>
  <si>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</si>
  <si>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</si>
  <si>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</si>
  <si>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</si>
  <si>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</si>
  <si>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</si>
  <si>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</si>
  <si>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农村公益事业</t>
  </si>
  <si>
    <t xml:space="preserve">    农业资源保护修复与利用</t>
  </si>
  <si>
    <t xml:space="preserve">    其他农业支出</t>
  </si>
  <si>
    <t xml:space="preserve">  林业</t>
  </si>
  <si>
    <t xml:space="preserve">    林业事业机构</t>
  </si>
  <si>
    <t xml:space="preserve">    其他林业支出</t>
  </si>
  <si>
    <t xml:space="preserve">  水利</t>
  </si>
  <si>
    <t xml:space="preserve">    水利行业业务管理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</si>
  <si>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</si>
  <si>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</si>
  <si>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</si>
  <si>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</si>
  <si>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其他水利支出</t>
  </si>
  <si>
    <t xml:space="preserve">  扶贫</t>
  </si>
  <si>
    <t xml:space="preserve">  农业综合开发</t>
  </si>
  <si>
    <t xml:space="preserve">    其他农业综合开发支出</t>
  </si>
  <si>
    <t xml:space="preserve">  农村综合改革</t>
  </si>
  <si>
    <t xml:space="preserve">  其他农林水支出</t>
  </si>
  <si>
    <t xml:space="preserve">    其他农林水支出</t>
  </si>
  <si>
    <t xml:space="preserve">  公路水路运输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</si>
  <si>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</si>
  <si>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</si>
  <si>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</si>
  <si>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国有资产监管</t>
  </si>
  <si>
    <t xml:space="preserve">    其他国有资产监管支出</t>
  </si>
  <si>
    <t xml:space="preserve">  旅游业管理与服务支出</t>
  </si>
  <si>
    <t xml:space="preserve">    旅游宣传</t>
  </si>
  <si>
    <t xml:space="preserve">  国土资源事务</t>
  </si>
  <si>
    <t xml:space="preserve">    其他国土资源事务支出</t>
  </si>
  <si>
    <t xml:space="preserve">  气象事务</t>
  </si>
  <si>
    <t xml:space="preserve">  住房改革支出</t>
  </si>
  <si>
    <t xml:space="preserve">  城乡社区住宅</t>
  </si>
  <si>
    <t xml:space="preserve">  粮油事务</t>
  </si>
  <si>
    <t xml:space="preserve">    其他粮油事务支出</t>
  </si>
  <si>
    <t xml:space="preserve">  预备费</t>
  </si>
  <si>
    <t xml:space="preserve">  其他支出</t>
  </si>
  <si>
    <t xml:space="preserve">    其他支出</t>
  </si>
  <si>
    <t>科目编码</t>
  </si>
  <si>
    <t>类</t>
  </si>
  <si>
    <t>款</t>
  </si>
  <si>
    <t>一般公共预算基本支出合计</t>
  </si>
  <si>
    <t>501</t>
  </si>
  <si>
    <t>一、机关工资福利支出</t>
  </si>
  <si>
    <t>01</t>
  </si>
  <si>
    <t>工资奖金津补贴</t>
  </si>
  <si>
    <t>02</t>
  </si>
  <si>
    <t>社会保障缴费</t>
  </si>
  <si>
    <t>03</t>
  </si>
  <si>
    <t>住房公积金</t>
  </si>
  <si>
    <t>04</t>
  </si>
  <si>
    <t>其他工资福利支出</t>
  </si>
  <si>
    <t>502</t>
  </si>
  <si>
    <t>二、机关商品和服务支出</t>
  </si>
  <si>
    <t>办公经费</t>
  </si>
  <si>
    <t>会议费</t>
  </si>
  <si>
    <t>培训费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</si>
  <si>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</si>
  <si>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</si>
  <si>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</si>
  <si>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</si>
  <si>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</si>
  <si>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</si>
  <si>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</si>
  <si>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</si>
  <si>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</si>
  <si>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</si>
  <si>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</si>
  <si>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99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</si>
  <si>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</si>
  <si>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</si>
  <si>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</si>
  <si>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</si>
  <si>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</si>
  <si>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土地佂迁补偿和安置支出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</si>
  <si>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</si>
  <si>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</si>
  <si>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</si>
  <si>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</si>
  <si>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</si>
  <si>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</si>
  <si>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</si>
  <si>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</si>
  <si>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</si>
  <si>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</si>
  <si>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</si>
  <si>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</si>
  <si>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</si>
  <si>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</si>
  <si>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其他队企业补助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</si>
  <si>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</si>
  <si>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</si>
  <si>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</si>
  <si>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</si>
  <si>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</si>
  <si>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</si>
  <si>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</si>
  <si>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</si>
  <si>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</si>
  <si>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</si>
  <si>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</si>
  <si>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</si>
  <si>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</si>
  <si>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</si>
  <si>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</si>
  <si>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</si>
  <si>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</si>
  <si>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</si>
  <si>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</si>
  <si>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</si>
  <si>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</si>
  <si>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</si>
  <si>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</si>
  <si>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</si>
  <si>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十四、预备费及预留</t>
  </si>
  <si>
    <t>预留</t>
  </si>
  <si>
    <t>十五、其他支出</t>
  </si>
  <si>
    <t>赠与</t>
  </si>
  <si>
    <t>国家赔偿费用支出</t>
  </si>
  <si>
    <t>对民间非营利组织和群众性自治组织补贴</t>
  </si>
  <si>
    <t>00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</si>
  <si>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</si>
  <si>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</si>
  <si>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</si>
  <si>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</si>
  <si>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</si>
  <si>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</si>
  <si>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</si>
  <si>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</si>
  <si>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</si>
  <si>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</si>
  <si>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</si>
  <si>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</si>
  <si>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</si>
  <si>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</si>
  <si>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</si>
  <si>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</si>
  <si>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</si>
  <si>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</si>
  <si>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</si>
  <si>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</si>
  <si>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</si>
  <si>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</si>
  <si>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</si>
  <si>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</si>
  <si>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</si>
  <si>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</si>
  <si>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取暖费(公用取暖费)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</si>
  <si>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</si>
  <si>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</si>
  <si>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</si>
  <si>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</si>
  <si>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</si>
  <si>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</si>
  <si>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</si>
  <si>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</si>
  <si>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</si>
  <si>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</si>
  <si>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</si>
  <si>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</si>
  <si>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</si>
  <si>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</si>
  <si>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</si>
  <si>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</si>
  <si>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</si>
  <si>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</si>
  <si>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</si>
  <si>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</si>
  <si>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</si>
  <si>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</si>
  <si>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</si>
  <si>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</si>
  <si>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</si>
  <si>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</si>
  <si>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</si>
  <si>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</si>
  <si>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</si>
  <si>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</si>
  <si>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</si>
  <si>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</si>
  <si>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</si>
  <si>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</si>
  <si>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</si>
  <si>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</si>
  <si>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</si>
  <si>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</si>
  <si>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</si>
  <si>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</si>
  <si>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</si>
  <si>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</si>
  <si>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</si>
  <si>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</si>
  <si>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</si>
  <si>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</si>
  <si>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</si>
  <si>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</si>
  <si>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</si>
  <si>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</si>
  <si>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</si>
  <si>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</si>
  <si>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</si>
  <si>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</si>
  <si>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</si>
  <si>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</si>
  <si>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19</t>
  </si>
  <si>
    <t>其他交通工具购置</t>
  </si>
  <si>
    <t>21</t>
  </si>
  <si>
    <t>文物和陈列品购置</t>
  </si>
  <si>
    <t>22</t>
  </si>
  <si>
    <t>无形资产购置</t>
  </si>
  <si>
    <t xml:space="preserve">                1.2018年新宾县一般公共预算收入预算表</t>
  </si>
  <si>
    <t xml:space="preserve">                2.2018年新宾县一般公共预算支出预算表</t>
  </si>
  <si>
    <t xml:space="preserve">                6.2018年新宾县一般公共预算基本支出预算表（按部门经济分类）</t>
  </si>
  <si>
    <t>2017年收入完成</t>
  </si>
  <si>
    <t>2018预算数比2017年完成</t>
  </si>
  <si>
    <t>一般公共预算收入合计</t>
  </si>
  <si>
    <t>1.增值税（50%）</t>
  </si>
  <si>
    <t>其中：地税部门征收</t>
  </si>
  <si>
    <t xml:space="preserve">      其他专项收入</t>
  </si>
  <si>
    <t>4.国有资源（资产）有偿使用收入</t>
  </si>
  <si>
    <t>5.其他收入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</si>
  <si>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</si>
  <si>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预算科目</t>
  </si>
  <si>
    <t>数额</t>
  </si>
  <si>
    <r>
      <t xml:space="preserve"> </t>
    </r>
    <r>
      <rPr>
        <b/>
        <sz val="10"/>
        <rFont val="宋体"/>
        <family val="0"/>
      </rPr>
      <t>一、一般公共预算收入合计</t>
    </r>
  </si>
  <si>
    <r>
      <t xml:space="preserve"> </t>
    </r>
    <r>
      <rPr>
        <b/>
        <sz val="10"/>
        <rFont val="宋体"/>
        <family val="0"/>
      </rPr>
      <t>一、一般公共预算支出合计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</si>
  <si>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</si>
  <si>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</si>
  <si>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</si>
  <si>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</si>
  <si>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</si>
  <si>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</si>
  <si>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</si>
  <si>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三、安排预算稳定调节基金</t>
  </si>
  <si>
    <t>4、上年结余收入</t>
  </si>
  <si>
    <t>5、调入资金</t>
  </si>
  <si>
    <t>收入总计</t>
  </si>
  <si>
    <t>支出总计</t>
  </si>
  <si>
    <t>2018年新宾县一般公共预算收支平衡表</t>
  </si>
  <si>
    <t>一般公共预算支出合计</t>
  </si>
  <si>
    <t>一般公共服务支出</t>
  </si>
  <si>
    <t>2018年新宾县一般公共预算支出预算表</t>
  </si>
  <si>
    <t>增减额</t>
  </si>
  <si>
    <t>增减%</t>
  </si>
  <si>
    <t>一般公共预算支出合计</t>
  </si>
  <si>
    <t>（一）一般公共服务支出</t>
  </si>
  <si>
    <t xml:space="preserve">    行政运行（人大事务）</t>
  </si>
  <si>
    <t xml:space="preserve">    行政运行（政协事务）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</si>
  <si>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</si>
  <si>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</si>
  <si>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</si>
  <si>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</si>
  <si>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行政运行（发展与改革事务）</t>
  </si>
  <si>
    <t xml:space="preserve">    一般行政管理事务（发展与改革事务）</t>
  </si>
  <si>
    <t xml:space="preserve">    战略规划与实施</t>
  </si>
  <si>
    <t xml:space="preserve">    社会事业发展规划</t>
  </si>
  <si>
    <t xml:space="preserve">    事业运行（发展与改革事务）</t>
  </si>
  <si>
    <t xml:space="preserve">    行政运行（统计信息事务）</t>
  </si>
  <si>
    <t xml:space="preserve">    事业运行（统计信息事务）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</si>
  <si>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</si>
  <si>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</si>
  <si>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</si>
  <si>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</si>
  <si>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</si>
  <si>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  代扣代收代征税款手续费</t>
  </si>
  <si>
    <t xml:space="preserve">    行政运行（审计事务）</t>
  </si>
  <si>
    <t xml:space="preserve">    一般行政管理事务（审计事务）</t>
  </si>
  <si>
    <t xml:space="preserve">    其他审计</t>
  </si>
  <si>
    <t xml:space="preserve">    行政运行（人力资源事务）</t>
  </si>
  <si>
    <t xml:space="preserve">    一般行政管理事务（人力资源事务）</t>
  </si>
  <si>
    <t xml:space="preserve">    事业运行（人力资源事务）</t>
  </si>
  <si>
    <t xml:space="preserve">    其他人事事务支出</t>
  </si>
  <si>
    <t xml:space="preserve">    行政运行（纪检监察事务）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</si>
  <si>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</si>
  <si>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</si>
  <si>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</si>
  <si>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  行政运行（工商行政管理事务）</t>
  </si>
  <si>
    <t xml:space="preserve">    一般行政管理事务（工商行政管理事务）</t>
  </si>
  <si>
    <t xml:space="preserve">    工商行政管理专项</t>
  </si>
  <si>
    <t xml:space="preserve">    执法办案专项</t>
  </si>
  <si>
    <t xml:space="preserve">    事业运行（工商行政管理事务）</t>
  </si>
  <si>
    <t xml:space="preserve">    其他工商行政管理事务支出</t>
  </si>
  <si>
    <t xml:space="preserve">    一般行政管理事务（质量技术监督与检验检疫事务）</t>
  </si>
  <si>
    <t xml:space="preserve">    事业运行（质量技术监督与检验检疫事务）</t>
  </si>
  <si>
    <t xml:space="preserve">    行政运行（民族事务）</t>
  </si>
  <si>
    <t xml:space="preserve">    行政运行（档案事务）</t>
  </si>
  <si>
    <t xml:space="preserve">    行政运行（民主党派及工商联事务）</t>
  </si>
  <si>
    <t xml:space="preserve">    行政运行（群众团体事务）</t>
  </si>
  <si>
    <t xml:space="preserve">    一般行政管理事务（群众团体事务）</t>
  </si>
  <si>
    <t xml:space="preserve">    其他群团事务支出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</si>
  <si>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</si>
  <si>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</si>
  <si>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</si>
  <si>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</si>
  <si>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</si>
  <si>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</si>
  <si>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</si>
  <si>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</si>
  <si>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行政运行（统战事务）</t>
  </si>
  <si>
    <t xml:space="preserve">    一般行政管理事务（统战事务）</t>
  </si>
  <si>
    <t>（二）国防支出</t>
  </si>
  <si>
    <t xml:space="preserve">    兵役征集</t>
  </si>
  <si>
    <t>（三）公共安全支出</t>
  </si>
  <si>
    <t xml:space="preserve">  武装警察</t>
  </si>
  <si>
    <t xml:space="preserve">    其他武装警察支出</t>
  </si>
  <si>
    <t xml:space="preserve">    行政运行（公安）</t>
  </si>
  <si>
    <t xml:space="preserve">    一般行政管理事务（公安）</t>
  </si>
  <si>
    <t xml:space="preserve">    禁毒管理</t>
  </si>
  <si>
    <t xml:space="preserve">    网络侦查管理</t>
  </si>
  <si>
    <t xml:space="preserve">    反恐怖</t>
  </si>
  <si>
    <t xml:space="preserve">    行政运行（检察）</t>
  </si>
  <si>
    <t xml:space="preserve">    一般行政管理事务（检察）</t>
  </si>
  <si>
    <t xml:space="preserve">    行政运行（法院）</t>
  </si>
  <si>
    <t xml:space="preserve">    一般行政管理事务（法院）</t>
  </si>
  <si>
    <t xml:space="preserve">    行政运行（司法）</t>
  </si>
  <si>
    <t xml:space="preserve">    一般行政管理事务（司法）</t>
  </si>
  <si>
    <t xml:space="preserve">    律师公证管理</t>
  </si>
  <si>
    <t xml:space="preserve">    事业运行（司法）</t>
  </si>
  <si>
    <t>（四）教育支出</t>
  </si>
  <si>
    <t xml:space="preserve">  教育管理事务</t>
  </si>
  <si>
    <t xml:space="preserve">    行政运行（教育管理事务）</t>
  </si>
  <si>
    <t xml:space="preserve">    学前教育</t>
  </si>
  <si>
    <t xml:space="preserve">    中专教育</t>
  </si>
  <si>
    <t xml:space="preserve">    特殊学校教育</t>
  </si>
  <si>
    <t xml:space="preserve">    教师进修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</si>
  <si>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</si>
  <si>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</si>
  <si>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</si>
  <si>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</si>
  <si>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</si>
  <si>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</si>
  <si>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  应用技术研究与开发</t>
  </si>
  <si>
    <t xml:space="preserve">    机构运行（科学技术普及）</t>
  </si>
  <si>
    <t>（六）文化体育与传媒支出</t>
  </si>
  <si>
    <t xml:space="preserve">    行政运行（文化）</t>
  </si>
  <si>
    <t xml:space="preserve">    行政运行（文物）</t>
  </si>
  <si>
    <t xml:space="preserve">    文物保护</t>
  </si>
  <si>
    <t xml:space="preserve">    群众体育</t>
  </si>
  <si>
    <t xml:space="preserve">  新闻出版广播影视</t>
  </si>
  <si>
    <t xml:space="preserve">    行政运行（广播影视）</t>
  </si>
  <si>
    <t xml:space="preserve">    广播</t>
  </si>
  <si>
    <t>其他文化体育传媒支出（款）</t>
  </si>
  <si>
    <t xml:space="preserve">    其他文化体育传媒支出（项）</t>
  </si>
  <si>
    <t>（七）社会保障和就业支出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</si>
  <si>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</si>
  <si>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</si>
  <si>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行政运行（民政管理事务）</t>
  </si>
  <si>
    <t xml:space="preserve">    一般行政管理事务（民政管理事务）</t>
  </si>
  <si>
    <t xml:space="preserve">    老龄事务</t>
  </si>
  <si>
    <t xml:space="preserve">    行政区划和社区建设</t>
  </si>
  <si>
    <t xml:space="preserve">    归口管理的行政单位离退休</t>
  </si>
  <si>
    <t xml:space="preserve">    企业关闭破产补助</t>
  </si>
  <si>
    <t xml:space="preserve">    死亡抚恤</t>
  </si>
  <si>
    <t xml:space="preserve">    伤残抚恤</t>
  </si>
  <si>
    <t xml:space="preserve">    在乡复员、退伍军人生活补助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</si>
  <si>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</si>
  <si>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</si>
  <si>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</si>
  <si>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儿童福利</t>
  </si>
  <si>
    <t xml:space="preserve">    行政运行（残疾人事业）</t>
  </si>
  <si>
    <t xml:space="preserve">    残疾人就业和扶贫</t>
  </si>
  <si>
    <t xml:space="preserve">    其他残疾人事业支出</t>
  </si>
  <si>
    <t xml:space="preserve">  自然灾害生活补助</t>
  </si>
  <si>
    <t xml:space="preserve">    自然灾害灾后重建补助</t>
  </si>
  <si>
    <t xml:space="preserve">    行政运行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</si>
  <si>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</si>
  <si>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</si>
  <si>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</si>
  <si>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</si>
  <si>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</t>
  </si>
  <si>
    <t xml:space="preserve">  特困人员救助供养</t>
  </si>
  <si>
    <t xml:space="preserve">    农村特困人员救助供养支出</t>
  </si>
  <si>
    <t xml:space="preserve">    农村五保供养支出</t>
  </si>
  <si>
    <t xml:space="preserve">    其他农村生活救助</t>
  </si>
  <si>
    <t xml:space="preserve">  财政对基本养老保险基金的补助</t>
  </si>
  <si>
    <t>（八）医疗卫生与计划生育支出</t>
  </si>
  <si>
    <t xml:space="preserve">  医疗卫生与计划生育管理事务</t>
  </si>
  <si>
    <t xml:space="preserve">    行政运行（医疗卫生管理事务）</t>
  </si>
  <si>
    <t xml:space="preserve">    一般行政管理事务（医疗卫生管理事务）</t>
  </si>
  <si>
    <t xml:space="preserve">    综合医院</t>
  </si>
  <si>
    <t xml:space="preserve">    其他公立医院支出</t>
  </si>
  <si>
    <t xml:space="preserve">    乡镇卫生院</t>
  </si>
  <si>
    <t xml:space="preserve">    疾病预防控制机构</t>
  </si>
  <si>
    <t xml:space="preserve">    计划生育机构</t>
  </si>
  <si>
    <t xml:space="preserve">    计划生育服务</t>
  </si>
  <si>
    <t xml:space="preserve">    一般行政管理事务（食品和药品监督管理事务）</t>
  </si>
  <si>
    <t xml:space="preserve">    事业运行（食品和药品监督管理事务）</t>
  </si>
  <si>
    <t xml:space="preserve">  行政事业单位医疗</t>
  </si>
  <si>
    <t xml:space="preserve">    行政单位医疗</t>
  </si>
  <si>
    <t xml:space="preserve">    财政对新型农村合作医疗基金的补助</t>
  </si>
  <si>
    <t xml:space="preserve">    城乡医疗救助</t>
  </si>
  <si>
    <t>医疗救助</t>
  </si>
  <si>
    <t xml:space="preserve">   城乡医疗救助</t>
  </si>
  <si>
    <t>优抚对象医疗</t>
  </si>
  <si>
    <t xml:space="preserve">    优抚对象医疗补助</t>
  </si>
  <si>
    <t>（九）节能环保支出</t>
  </si>
  <si>
    <t xml:space="preserve">    行政运行（环境保护管理事务）</t>
  </si>
  <si>
    <t xml:space="preserve">    排污费安排的支出</t>
  </si>
  <si>
    <t xml:space="preserve">    生态保护</t>
  </si>
  <si>
    <t xml:space="preserve">    农村环境保护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</si>
  <si>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</si>
  <si>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</si>
  <si>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</si>
  <si>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</si>
  <si>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>（十）城乡社区支出</t>
  </si>
  <si>
    <t xml:space="preserve">    行政运行（城乡社区管理事务）</t>
  </si>
  <si>
    <t xml:space="preserve">    小城镇基础设施建设</t>
  </si>
  <si>
    <t xml:space="preserve">  建设市场管理与监督</t>
  </si>
  <si>
    <t xml:space="preserve">    建设市场管理与监督</t>
  </si>
  <si>
    <t>（十一）农林水支出</t>
  </si>
  <si>
    <t xml:space="preserve">    行政运行（农业）</t>
  </si>
  <si>
    <t xml:space="preserve">    事业运行（农业）</t>
  </si>
  <si>
    <t xml:space="preserve">    农业生产支持补助</t>
  </si>
  <si>
    <t xml:space="preserve">    农业组织化与产业化经营</t>
  </si>
  <si>
    <t xml:space="preserve">    农村道路建设</t>
  </si>
  <si>
    <t xml:space="preserve">    农资综合补贴</t>
  </si>
  <si>
    <t xml:space="preserve">    行政运行（林业）</t>
  </si>
  <si>
    <t xml:space="preserve">    森林培育</t>
  </si>
  <si>
    <t xml:space="preserve">    森林资源管理</t>
  </si>
  <si>
    <t xml:space="preserve">    森林生态效益补偿</t>
  </si>
  <si>
    <t xml:space="preserve">    林业执法与监督</t>
  </si>
  <si>
    <t xml:space="preserve">    行政运行（水利）</t>
  </si>
  <si>
    <t xml:space="preserve">    水利工程建设</t>
  </si>
  <si>
    <t xml:space="preserve">    水土保持（水利）</t>
  </si>
  <si>
    <t xml:space="preserve">    防汛</t>
  </si>
  <si>
    <t xml:space="preserve">    农田水利</t>
  </si>
  <si>
    <t xml:space="preserve">    水利技术推广</t>
  </si>
  <si>
    <t xml:space="preserve">    大中型水库移民后欺扶持专项支出</t>
  </si>
  <si>
    <t xml:space="preserve">    农村人畜饮水</t>
  </si>
  <si>
    <t xml:space="preserve">    行政运行（扶贫）</t>
  </si>
  <si>
    <t xml:space="preserve">    农村基础设施建设</t>
  </si>
  <si>
    <t xml:space="preserve">    生产发展</t>
  </si>
  <si>
    <t xml:space="preserve">    其他扶贫支出</t>
  </si>
  <si>
    <t xml:space="preserve">    土地治理</t>
  </si>
  <si>
    <t xml:space="preserve">    产业化经营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</si>
  <si>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</si>
  <si>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</si>
  <si>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</si>
  <si>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</si>
  <si>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</si>
  <si>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</si>
  <si>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地方水利建设基金支出</t>
  </si>
  <si>
    <t xml:space="preserve">    其他地方水利建设基金支出</t>
  </si>
  <si>
    <t>（十二）交通运输支出</t>
  </si>
  <si>
    <t xml:space="preserve">    行政运行（公路水路运输）</t>
  </si>
  <si>
    <t xml:space="preserve">    公路建设</t>
  </si>
  <si>
    <t xml:space="preserve">    其他公路水路运输支出</t>
  </si>
  <si>
    <t>（十三）资源勘探信息等支出</t>
  </si>
  <si>
    <t xml:space="preserve">    行政运行（安全生产监管）</t>
  </si>
  <si>
    <t xml:space="preserve">    煤炭安全</t>
  </si>
  <si>
    <t xml:space="preserve">    其他安全生产监管支出</t>
  </si>
  <si>
    <t xml:space="preserve">    行政运行（国有资产监管）</t>
  </si>
  <si>
    <t>（十四）商业服务业等支出</t>
  </si>
  <si>
    <t xml:space="preserve">  商业流通事务</t>
  </si>
  <si>
    <t xml:space="preserve">    行政运行（商业流通事务）</t>
  </si>
  <si>
    <t xml:space="preserve">    行政运行（旅游业管理与服务支出）</t>
  </si>
  <si>
    <t>（十五）国土海洋气象等支出</t>
  </si>
  <si>
    <t xml:space="preserve">    行政运行（国土资源事务）</t>
  </si>
  <si>
    <t xml:space="preserve">    国土资源规划及管理</t>
  </si>
  <si>
    <t xml:space="preserve">    事业运行（国土资源事务）</t>
  </si>
  <si>
    <t xml:space="preserve">    气象事业机构</t>
  </si>
  <si>
    <t xml:space="preserve">    气象装备保障维护</t>
  </si>
  <si>
    <t>（十六）住房保障支出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</si>
  <si>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</si>
  <si>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</si>
  <si>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</si>
  <si>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其他城乡社区住宅支出</t>
  </si>
  <si>
    <t>（十七）粮油物资储备支出</t>
  </si>
  <si>
    <t>（十八）预备费</t>
  </si>
  <si>
    <t>（十九）其他支出</t>
  </si>
  <si>
    <t xml:space="preserve">  年初预留</t>
  </si>
  <si>
    <t>（二十）债务还本支出</t>
  </si>
  <si>
    <t xml:space="preserve">  地方政府一般债务还本支出</t>
  </si>
  <si>
    <t xml:space="preserve">    地方政府其他一般债务还本支出</t>
  </si>
  <si>
    <t>（二十一）债务付息支出</t>
  </si>
  <si>
    <t xml:space="preserve">    地方政府一般债务付息支出</t>
  </si>
  <si>
    <t>2017年调整预算数</t>
  </si>
  <si>
    <t>2018年预算（不含提前告知专项）</t>
  </si>
  <si>
    <t>2018年预算数比2017年预算数</t>
  </si>
  <si>
    <t>2018年预算（含上级提前告知专项）</t>
  </si>
  <si>
    <t>2018年新宾县一般公共预算支出预算表</t>
  </si>
  <si>
    <t>2017年调整预算</t>
  </si>
  <si>
    <t>备注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</si>
  <si>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</si>
  <si>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</si>
  <si>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</si>
  <si>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</si>
  <si>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</si>
  <si>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</si>
  <si>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</si>
  <si>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</si>
  <si>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</si>
  <si>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</si>
  <si>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</si>
  <si>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</si>
  <si>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</si>
  <si>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</si>
  <si>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</si>
  <si>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</si>
  <si>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</si>
  <si>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</si>
  <si>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</si>
  <si>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</si>
  <si>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</si>
  <si>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</si>
  <si>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</si>
  <si>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</si>
  <si>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</si>
  <si>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</si>
  <si>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</si>
  <si>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</si>
  <si>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</si>
  <si>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</si>
  <si>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</si>
  <si>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</si>
  <si>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</si>
  <si>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</si>
  <si>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</si>
  <si>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</si>
  <si>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</si>
  <si>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</si>
  <si>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</si>
  <si>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</si>
  <si>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</si>
  <si>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</si>
  <si>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</si>
  <si>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</si>
  <si>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</si>
  <si>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2018年度新宾县一般公共预算转移支付补助预算表</t>
  </si>
  <si>
    <t>2018年调整预算</t>
  </si>
  <si>
    <t>2018比2017年增减额</t>
  </si>
  <si>
    <t>单位：万元</t>
  </si>
  <si>
    <t>年度</t>
  </si>
  <si>
    <t>债务类型</t>
  </si>
  <si>
    <t>政府债务限额</t>
  </si>
  <si>
    <t>年末余额</t>
  </si>
  <si>
    <t>一般债务</t>
  </si>
  <si>
    <t>合  计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</si>
  <si>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</si>
  <si>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</si>
  <si>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</si>
  <si>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</si>
  <si>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</si>
  <si>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</si>
  <si>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</si>
  <si>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年一般公共预算基本支出预算表（按政府经济分类）</t>
    </r>
  </si>
  <si>
    <t>2018年一般公共预算基本支出预算表（按部门经济分类）</t>
  </si>
  <si>
    <t xml:space="preserve">                8.2018年地方政府一般债务限额和余额情况表  </t>
  </si>
  <si>
    <t xml:space="preserve">                4.2018年新宾县一般公共预算收支平衡预算表</t>
  </si>
  <si>
    <r>
      <t xml:space="preserve"> </t>
    </r>
    <r>
      <rPr>
        <sz val="10"/>
        <rFont val="宋体"/>
        <family val="0"/>
      </rPr>
      <t xml:space="preserve">   革命老区转移支付收入</t>
    </r>
  </si>
  <si>
    <r>
      <t xml:space="preserve"> </t>
    </r>
    <r>
      <rPr>
        <sz val="10"/>
        <rFont val="宋体"/>
        <family val="0"/>
      </rPr>
      <t xml:space="preserve">   民族地区转移支付收入</t>
    </r>
  </si>
  <si>
    <t xml:space="preserve">    公务员考核</t>
  </si>
  <si>
    <t xml:space="preserve">    一般行政管理事务（纪检监察事务）</t>
  </si>
  <si>
    <t xml:space="preserve">    机关事业单位职业年金缴费支出</t>
  </si>
  <si>
    <t xml:space="preserve">    对机关事业单位基本养老保险基金的补助</t>
  </si>
  <si>
    <t xml:space="preserve">    其他城市生活救助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</si>
  <si>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</si>
  <si>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</si>
  <si>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财政对城乡居民基本医疗保险基金的补助</t>
  </si>
  <si>
    <t xml:space="preserve">    林业防灾减灾</t>
  </si>
  <si>
    <t xml:space="preserve">    农业保险保费补贴</t>
  </si>
  <si>
    <t xml:space="preserve">    创业担保贷款贴息</t>
  </si>
  <si>
    <t xml:space="preserve">  农业</t>
  </si>
  <si>
    <t xml:space="preserve">  支持中小企业发展和管理支出</t>
  </si>
  <si>
    <t xml:space="preserve">    其他支持中小企业发展和管理支出</t>
  </si>
  <si>
    <t>（二十二）债务发行费用支出</t>
  </si>
  <si>
    <t xml:space="preserve">    地方政府一般债务发行费用支出</t>
  </si>
  <si>
    <t xml:space="preserve">    其他科学技术普及支出</t>
  </si>
  <si>
    <t xml:space="preserve">    其他新闻出版广播影视支出</t>
  </si>
  <si>
    <t>其他医疗卫生与计划生育支出</t>
  </si>
  <si>
    <t xml:space="preserve">    其他医疗卫生与计划生育支出</t>
  </si>
  <si>
    <t xml:space="preserve"> 天然林保护</t>
  </si>
  <si>
    <t xml:space="preserve">    停伐补助</t>
  </si>
  <si>
    <t xml:space="preserve">  车辆购置税支出</t>
  </si>
  <si>
    <t xml:space="preserve">    车辆购置税用于公路等基础设施建设支出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</si>
  <si>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</si>
  <si>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</si>
  <si>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年比201</t>
    </r>
    <r>
      <rPr>
        <sz val="11"/>
        <rFont val="宋体"/>
        <family val="0"/>
      </rPr>
      <t>7</t>
    </r>
    <r>
      <rPr>
        <sz val="11"/>
        <rFont val="宋体"/>
        <family val="0"/>
      </rPr>
      <t>年</t>
    </r>
  </si>
  <si>
    <t xml:space="preserve">    一般行政管理事务（民主党派及工商联事务）</t>
  </si>
  <si>
    <t xml:space="preserve">    气象服务</t>
  </si>
  <si>
    <t xml:space="preserve">    文化创作与合作</t>
  </si>
  <si>
    <t xml:space="preserve">    机关事业单位基本养老保险缴费支出</t>
  </si>
  <si>
    <t xml:space="preserve">    林业贷款贴息</t>
  </si>
  <si>
    <t xml:space="preserve">    对村集体经济组织的补助</t>
  </si>
  <si>
    <t xml:space="preserve">    公路养护</t>
  </si>
  <si>
    <t xml:space="preserve">    中小企业发展专项</t>
  </si>
  <si>
    <t xml:space="preserve">    其他商业流通事务支出</t>
  </si>
  <si>
    <t xml:space="preserve">    一般行政管理事务（旅游业管理与服务支出）</t>
  </si>
  <si>
    <t xml:space="preserve">    其他旅游业管理与服务支出</t>
  </si>
  <si>
    <t xml:space="preserve">    地质灾害防治</t>
  </si>
  <si>
    <t xml:space="preserve">    地质矿产资源利用与保护</t>
  </si>
  <si>
    <r>
      <t xml:space="preserve"> </t>
    </r>
    <r>
      <rPr>
        <b/>
        <sz val="9"/>
        <rFont val="宋体"/>
        <family val="0"/>
      </rPr>
      <t xml:space="preserve"> 地方政府一般债务付息支出</t>
    </r>
  </si>
  <si>
    <r>
      <t xml:space="preserve"> </t>
    </r>
    <r>
      <rPr>
        <b/>
        <sz val="9"/>
        <rFont val="宋体"/>
        <family val="0"/>
      </rPr>
      <t xml:space="preserve"> 地方政府一般债务发行费用支出</t>
    </r>
  </si>
  <si>
    <t xml:space="preserve">      地方教育附加收入</t>
  </si>
  <si>
    <t>社会保障和就业支出</t>
  </si>
  <si>
    <t>医疗卫生与计划生育支出</t>
  </si>
  <si>
    <t>节能环保支出</t>
  </si>
  <si>
    <t>交通运输支出</t>
  </si>
  <si>
    <t>住房保障支出</t>
  </si>
  <si>
    <t>粮油物资储备支出</t>
  </si>
  <si>
    <t xml:space="preserve">                3.2018年新宾县一般公共预算本级支出（功能）</t>
  </si>
  <si>
    <t xml:space="preserve">                5.2018年新宾县一般公共预算基本支出预算表（按政府经济分类）</t>
  </si>
  <si>
    <t xml:space="preserve">                7.2018年新宾县一般公共预算转移支付补助预算表</t>
  </si>
  <si>
    <r>
      <t>2</t>
    </r>
    <r>
      <rPr>
        <sz val="10"/>
        <rFont val="宋体"/>
        <family val="0"/>
      </rPr>
      <t>.营业税</t>
    </r>
  </si>
  <si>
    <t>3.企业所得税（40%部分）</t>
  </si>
  <si>
    <t>4.个人所得税（40%部分）</t>
  </si>
  <si>
    <t>5.资源税</t>
  </si>
  <si>
    <t>6.城市维护建设税</t>
  </si>
  <si>
    <t>7.房产税</t>
  </si>
  <si>
    <t>8.印花税</t>
  </si>
  <si>
    <t>9.城镇土地使用税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</si>
  <si>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.土地增值税</t>
    </r>
  </si>
  <si>
    <t>11.车船税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</si>
  <si>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.耕地占用税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</si>
  <si>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.契税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</si>
  <si>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.烟叶税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</si>
  <si>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.环境保护税</t>
    </r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</si>
  <si>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.其他税收收入</t>
    </r>
  </si>
  <si>
    <t>2018年新宾县一般公共预算收入预算表</t>
  </si>
  <si>
    <t>新宾县“三公”经费预算汇总表</t>
  </si>
  <si>
    <t>2018年收入预算</t>
  </si>
  <si>
    <t>2017年政府一般债务限额和余额情况表</t>
  </si>
  <si>
    <t xml:space="preserve">                9.2018年新宾县“三公”经费预算表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</si>
</sst>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_ ;[Red]\-#,##0\ "/>
    <numFmt numFmtId="179" formatCode="0.0_ "/>
    <numFmt numFmtId="180" formatCode="0_ "/>
    <numFmt numFmtId="181" formatCode="#,##0.0_ "/>
    <numFmt numFmtId="182" formatCode="0.00_ "/>
    <numFmt numFmtId="183" formatCode="0_);[Red]\(0\)"/>
    <numFmt numFmtId="184" formatCode="0.0_);[Red]\(0.0\)"/>
    <numFmt numFmtId="185" formatCode="0.00_);[Red]\(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Geneva"/>
      <family val="2"/>
    </font>
    <font>
      <b/>
      <sz val="10"/>
      <name val="Geneva"/>
      <family val="2"/>
    </font>
    <font>
      <sz val="24"/>
      <name val="宋体"/>
      <family val="0"/>
    </font>
    <font>
      <sz val="12"/>
      <name val="华文中宋"/>
      <family val="0"/>
    </font>
    <font>
      <sz val="16"/>
      <color indexed="8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330"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8" fillId="12" borderId="0" applyNumberFormat="0" applyBorder="0" applyAlignment="0" applyProtection="0"/>
    <xf numFmtId="0" fontId="23" fillId="14" borderId="0" applyNumberFormat="0" applyBorder="0" applyAlignment="0" applyProtection="0"/>
    <xf numFmtId="0" fontId="18" fillId="10" borderId="0" applyNumberFormat="0" applyBorder="0" applyAlignment="0" applyProtection="0"/>
    <xf numFmtId="0" fontId="23" fillId="10" borderId="0" applyNumberFormat="0" applyBorder="0" applyAlignment="0" applyProtection="0"/>
    <xf numFmtId="0" fontId="18" fillId="12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15" borderId="0" applyNumberFormat="0" applyBorder="0" applyAlignment="0" applyProtection="0"/>
    <xf numFmtId="0" fontId="18" fillId="9" borderId="0" applyNumberFormat="0" applyBorder="0" applyAlignment="0" applyProtection="0"/>
    <xf numFmtId="0" fontId="23" fillId="16" borderId="0" applyNumberFormat="0" applyBorder="0" applyAlignment="0" applyProtection="0"/>
    <xf numFmtId="0" fontId="18" fillId="8" borderId="0" applyNumberFormat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1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8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3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  <xf numFmtId="0" fontId="18" fillId="24" borderId="0" applyNumberFormat="0" applyBorder="0" applyAlignment="0" applyProtection="0"/>
    <xf numFmtId="0" fontId="23" fillId="25" borderId="0" applyNumberFormat="0" applyBorder="0" applyAlignment="0" applyProtection="0"/>
    <xf numFmtId="0" fontId="18" fillId="20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23" fillId="16" borderId="0" applyNumberFormat="0" applyBorder="0" applyAlignment="0" applyProtection="0"/>
    <xf numFmtId="0" fontId="18" fillId="10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2" fillId="18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155" applyFont="1" applyFill="1" applyAlignment="1">
      <alignment horizontal="center" vertical="center"/>
      <protection/>
    </xf>
    <xf numFmtId="0" fontId="10" fillId="0" borderId="0" xfId="155" applyFont="1" applyFill="1">
      <alignment/>
      <protection/>
    </xf>
    <xf numFmtId="0" fontId="0" fillId="0" borderId="0" xfId="155" applyFont="1" applyFill="1">
      <alignment/>
      <protection/>
    </xf>
    <xf numFmtId="0" fontId="11" fillId="0" borderId="0" xfId="153" applyFont="1" applyAlignment="1">
      <alignment/>
      <protection/>
    </xf>
    <xf numFmtId="0" fontId="11" fillId="0" borderId="0" xfId="155" applyFont="1" applyFill="1">
      <alignment/>
      <protection/>
    </xf>
    <xf numFmtId="0" fontId="9" fillId="0" borderId="0" xfId="155" applyFont="1" applyFill="1">
      <alignment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155" applyFont="1" applyFill="1" applyBorder="1">
      <alignment/>
      <protection/>
    </xf>
    <xf numFmtId="0" fontId="0" fillId="0" borderId="14" xfId="0" applyFont="1" applyBorder="1" applyAlignment="1">
      <alignment horizontal="left" vertical="center" indent="1"/>
    </xf>
    <xf numFmtId="0" fontId="13" fillId="0" borderId="0" xfId="155" applyFont="1" applyFill="1">
      <alignment/>
      <protection/>
    </xf>
    <xf numFmtId="0" fontId="4" fillId="0" borderId="0" xfId="155" applyFont="1" applyFill="1">
      <alignment/>
      <protection/>
    </xf>
    <xf numFmtId="0" fontId="11" fillId="0" borderId="0" xfId="153" applyFont="1" applyAlignment="1">
      <alignment horizontal="center"/>
      <protection/>
    </xf>
    <xf numFmtId="178" fontId="0" fillId="0" borderId="0" xfId="155" applyNumberFormat="1" applyFont="1" applyFill="1">
      <alignment/>
      <protection/>
    </xf>
    <xf numFmtId="0" fontId="13" fillId="18" borderId="0" xfId="131" applyFont="1" applyFill="1">
      <alignment/>
      <protection/>
    </xf>
    <xf numFmtId="0" fontId="13" fillId="18" borderId="0" xfId="131" applyFont="1" applyFill="1" applyAlignment="1">
      <alignment vertical="center"/>
      <protection/>
    </xf>
    <xf numFmtId="0" fontId="4" fillId="18" borderId="0" xfId="131" applyFont="1" applyFill="1" applyAlignment="1">
      <alignment vertical="center"/>
      <protection/>
    </xf>
    <xf numFmtId="0" fontId="0" fillId="18" borderId="0" xfId="131" applyFont="1" applyFill="1">
      <alignment/>
      <protection/>
    </xf>
    <xf numFmtId="0" fontId="0" fillId="18" borderId="0" xfId="131" applyFont="1" applyFill="1" applyAlignment="1">
      <alignment vertical="center"/>
      <protection/>
    </xf>
    <xf numFmtId="0" fontId="14" fillId="18" borderId="0" xfId="131" applyFont="1" applyFill="1" applyAlignment="1">
      <alignment horizontal="right"/>
      <protection/>
    </xf>
    <xf numFmtId="179" fontId="14" fillId="18" borderId="0" xfId="131" applyNumberFormat="1" applyFont="1" applyFill="1" applyAlignment="1">
      <alignment horizontal="right"/>
      <protection/>
    </xf>
    <xf numFmtId="0" fontId="0" fillId="0" borderId="0" xfId="131" applyFont="1">
      <alignment/>
      <protection/>
    </xf>
    <xf numFmtId="0" fontId="0" fillId="0" borderId="0" xfId="0" applyFill="1" applyAlignment="1">
      <alignment/>
    </xf>
    <xf numFmtId="0" fontId="15" fillId="18" borderId="0" xfId="131" applyFont="1" applyFill="1" applyAlignment="1">
      <alignment vertical="center"/>
      <protection/>
    </xf>
    <xf numFmtId="181" fontId="0" fillId="18" borderId="0" xfId="131" applyNumberFormat="1" applyFont="1" applyFill="1" applyAlignment="1">
      <alignment horizontal="right"/>
      <protection/>
    </xf>
    <xf numFmtId="0" fontId="13" fillId="0" borderId="0" xfId="156" applyFont="1">
      <alignment/>
      <protection/>
    </xf>
    <xf numFmtId="0" fontId="13" fillId="0" borderId="0" xfId="156" applyFont="1" applyAlignment="1">
      <alignment vertical="center"/>
      <protection/>
    </xf>
    <xf numFmtId="0" fontId="4" fillId="0" borderId="0" xfId="156" applyFont="1" applyAlignment="1">
      <alignment vertical="center"/>
      <protection/>
    </xf>
    <xf numFmtId="0" fontId="0" fillId="0" borderId="0" xfId="156">
      <alignment/>
      <protection/>
    </xf>
    <xf numFmtId="0" fontId="3" fillId="0" borderId="0" xfId="156" applyFont="1">
      <alignment/>
      <protection/>
    </xf>
    <xf numFmtId="0" fontId="3" fillId="0" borderId="0" xfId="156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14" xfId="131" applyFont="1" applyFill="1" applyBorder="1" applyAlignment="1">
      <alignment horizontal="center" vertical="center" wrapText="1"/>
      <protection/>
    </xf>
    <xf numFmtId="179" fontId="47" fillId="0" borderId="14" xfId="131" applyNumberFormat="1" applyFont="1" applyFill="1" applyBorder="1" applyAlignment="1">
      <alignment horizontal="center" vertical="center" wrapText="1"/>
      <protection/>
    </xf>
    <xf numFmtId="176" fontId="4" fillId="0" borderId="14" xfId="156" applyNumberFormat="1" applyFont="1" applyBorder="1" applyAlignment="1">
      <alignment vertical="center"/>
      <protection/>
    </xf>
    <xf numFmtId="181" fontId="4" fillId="0" borderId="14" xfId="156" applyNumberFormat="1" applyFont="1" applyBorder="1" applyAlignment="1">
      <alignment vertical="center"/>
      <protection/>
    </xf>
    <xf numFmtId="0" fontId="4" fillId="0" borderId="14" xfId="156" applyFont="1" applyBorder="1" applyAlignment="1">
      <alignment vertical="center"/>
      <protection/>
    </xf>
    <xf numFmtId="0" fontId="13" fillId="0" borderId="14" xfId="156" applyFont="1" applyBorder="1" applyAlignment="1">
      <alignment horizontal="left" vertical="center"/>
      <protection/>
    </xf>
    <xf numFmtId="0" fontId="13" fillId="0" borderId="14" xfId="156" applyFont="1" applyBorder="1" applyAlignment="1">
      <alignment vertical="center"/>
      <protection/>
    </xf>
    <xf numFmtId="3" fontId="49" fillId="0" borderId="0" xfId="154" applyNumberFormat="1" applyFont="1" applyProtection="1">
      <alignment/>
      <protection locked="0"/>
    </xf>
    <xf numFmtId="3" fontId="4" fillId="0" borderId="0" xfId="154" applyNumberFormat="1" applyFont="1" applyAlignment="1" applyProtection="1">
      <alignment/>
      <protection locked="0"/>
    </xf>
    <xf numFmtId="3" fontId="4" fillId="0" borderId="0" xfId="154" applyNumberFormat="1" applyFont="1" applyAlignment="1" applyProtection="1">
      <alignment horizontal="right"/>
      <protection locked="0"/>
    </xf>
    <xf numFmtId="3" fontId="4" fillId="0" borderId="0" xfId="154" applyNumberFormat="1" applyFont="1" applyAlignment="1" applyProtection="1">
      <alignment vertical="top"/>
      <protection locked="0"/>
    </xf>
    <xf numFmtId="3" fontId="45" fillId="0" borderId="15" xfId="154" applyNumberFormat="1" applyFont="1" applyBorder="1" applyAlignment="1" applyProtection="1">
      <alignment horizontal="center" vertical="center" wrapText="1"/>
      <protection locked="0"/>
    </xf>
    <xf numFmtId="3" fontId="45" fillId="0" borderId="16" xfId="154" applyNumberFormat="1" applyFont="1" applyBorder="1" applyAlignment="1" applyProtection="1">
      <alignment horizontal="center" vertical="center" wrapText="1"/>
      <protection locked="0"/>
    </xf>
    <xf numFmtId="3" fontId="45" fillId="0" borderId="17" xfId="154" applyNumberFormat="1" applyFont="1" applyBorder="1" applyAlignment="1" applyProtection="1">
      <alignment horizontal="center" vertical="center" wrapText="1"/>
      <protection locked="0"/>
    </xf>
    <xf numFmtId="3" fontId="46" fillId="0" borderId="0" xfId="154" applyNumberFormat="1" applyFont="1" applyProtection="1">
      <alignment/>
      <protection locked="0"/>
    </xf>
    <xf numFmtId="3" fontId="5" fillId="0" borderId="18" xfId="154" applyNumberFormat="1" applyFont="1" applyBorder="1" applyAlignment="1" applyProtection="1">
      <alignment horizontal="left" vertical="center"/>
      <protection locked="0"/>
    </xf>
    <xf numFmtId="3" fontId="13" fillId="18" borderId="14" xfId="154" applyNumberFormat="1" applyFont="1" applyFill="1" applyBorder="1" applyAlignment="1" applyProtection="1">
      <alignment vertical="center"/>
      <protection locked="0"/>
    </xf>
    <xf numFmtId="3" fontId="13" fillId="18" borderId="19" xfId="154" applyNumberFormat="1" applyFont="1" applyFill="1" applyBorder="1" applyAlignment="1" applyProtection="1">
      <alignment vertical="center"/>
      <protection locked="0"/>
    </xf>
    <xf numFmtId="0" fontId="0" fillId="0" borderId="0" xfId="154" applyFont="1" applyProtection="1">
      <alignment/>
      <protection locked="0"/>
    </xf>
    <xf numFmtId="3" fontId="13" fillId="0" borderId="18" xfId="154" applyNumberFormat="1" applyFont="1" applyBorder="1" applyAlignment="1" applyProtection="1">
      <alignment horizontal="left" vertical="center"/>
      <protection locked="0"/>
    </xf>
    <xf numFmtId="3" fontId="13" fillId="18" borderId="14" xfId="154" applyNumberFormat="1" applyFont="1" applyFill="1" applyBorder="1" applyAlignment="1" applyProtection="1">
      <alignment vertical="center"/>
      <protection/>
    </xf>
    <xf numFmtId="3" fontId="13" fillId="18" borderId="19" xfId="154" applyNumberFormat="1" applyFont="1" applyFill="1" applyBorder="1" applyAlignment="1" applyProtection="1">
      <alignment vertical="center"/>
      <protection/>
    </xf>
    <xf numFmtId="3" fontId="4" fillId="0" borderId="18" xfId="154" applyNumberFormat="1" applyFont="1" applyBorder="1" applyAlignment="1" applyProtection="1">
      <alignment vertical="center"/>
      <protection locked="0"/>
    </xf>
    <xf numFmtId="3" fontId="4" fillId="18" borderId="14" xfId="154" applyNumberFormat="1" applyFont="1" applyFill="1" applyBorder="1" applyAlignment="1" applyProtection="1">
      <alignment vertical="center"/>
      <protection locked="0"/>
    </xf>
    <xf numFmtId="3" fontId="4" fillId="18" borderId="14" xfId="154" applyNumberFormat="1" applyFont="1" applyFill="1" applyBorder="1" applyAlignment="1" applyProtection="1">
      <alignment vertical="center"/>
      <protection/>
    </xf>
    <xf numFmtId="3" fontId="4" fillId="18" borderId="19" xfId="154" applyNumberFormat="1" applyFont="1" applyFill="1" applyBorder="1" applyAlignment="1" applyProtection="1">
      <alignment vertical="center"/>
      <protection/>
    </xf>
    <xf numFmtId="0" fontId="4" fillId="0" borderId="18" xfId="154" applyFont="1" applyFill="1" applyBorder="1" applyAlignment="1">
      <alignment vertical="center"/>
      <protection/>
    </xf>
    <xf numFmtId="3" fontId="4" fillId="0" borderId="20" xfId="154" applyNumberFormat="1" applyFont="1" applyBorder="1" applyAlignment="1" applyProtection="1">
      <alignment horizontal="left" vertical="center"/>
      <protection locked="0"/>
    </xf>
    <xf numFmtId="3" fontId="4" fillId="18" borderId="21" xfId="154" applyNumberFormat="1" applyFont="1" applyFill="1" applyBorder="1" applyAlignment="1" applyProtection="1">
      <alignment vertical="center"/>
      <protection/>
    </xf>
    <xf numFmtId="3" fontId="4" fillId="18" borderId="22" xfId="154" applyNumberFormat="1" applyFont="1" applyFill="1" applyBorder="1" applyAlignment="1" applyProtection="1">
      <alignment vertical="center"/>
      <protection/>
    </xf>
    <xf numFmtId="3" fontId="4" fillId="18" borderId="23" xfId="154" applyNumberFormat="1" applyFont="1" applyFill="1" applyBorder="1" applyAlignment="1" applyProtection="1">
      <alignment vertical="center"/>
      <protection locked="0"/>
    </xf>
    <xf numFmtId="3" fontId="4" fillId="18" borderId="23" xfId="154" applyNumberFormat="1" applyFont="1" applyFill="1" applyBorder="1" applyAlignment="1" applyProtection="1">
      <alignment vertical="center"/>
      <protection/>
    </xf>
    <xf numFmtId="3" fontId="13" fillId="18" borderId="24" xfId="154" applyNumberFormat="1" applyFont="1" applyFill="1" applyBorder="1" applyAlignment="1" applyProtection="1">
      <alignment horizontal="center" vertical="center"/>
      <protection locked="0"/>
    </xf>
    <xf numFmtId="3" fontId="13" fillId="18" borderId="25" xfId="154" applyNumberFormat="1" applyFont="1" applyFill="1" applyBorder="1" applyAlignment="1" applyProtection="1">
      <alignment vertical="center"/>
      <protection/>
    </xf>
    <xf numFmtId="3" fontId="13" fillId="18" borderId="25" xfId="154" applyNumberFormat="1" applyFont="1" applyFill="1" applyBorder="1" applyAlignment="1" applyProtection="1">
      <alignment horizontal="center" vertical="center"/>
      <protection/>
    </xf>
    <xf numFmtId="3" fontId="13" fillId="18" borderId="26" xfId="154" applyNumberFormat="1" applyFont="1" applyFill="1" applyBorder="1" applyAlignment="1" applyProtection="1">
      <alignment vertical="center"/>
      <protection/>
    </xf>
    <xf numFmtId="3" fontId="0" fillId="0" borderId="0" xfId="154" applyNumberFormat="1" applyFont="1" applyProtection="1">
      <alignment/>
      <protection locked="0"/>
    </xf>
    <xf numFmtId="0" fontId="50" fillId="0" borderId="0" xfId="131" applyFont="1" applyFill="1" applyBorder="1" applyAlignment="1">
      <alignment horizontal="center" vertical="top"/>
      <protection/>
    </xf>
    <xf numFmtId="181" fontId="50" fillId="0" borderId="0" xfId="131" applyNumberFormat="1" applyFont="1" applyFill="1" applyBorder="1" applyAlignment="1">
      <alignment horizontal="right"/>
      <protection/>
    </xf>
    <xf numFmtId="0" fontId="13" fillId="0" borderId="0" xfId="131" applyFont="1" applyFill="1">
      <alignment/>
      <protection/>
    </xf>
    <xf numFmtId="0" fontId="47" fillId="0" borderId="0" xfId="131" applyFont="1" applyFill="1" applyAlignment="1">
      <alignment horizontal="right"/>
      <protection/>
    </xf>
    <xf numFmtId="176" fontId="51" fillId="0" borderId="27" xfId="131" applyNumberFormat="1" applyFont="1" applyFill="1" applyBorder="1" applyAlignment="1">
      <alignment horizontal="right" vertical="center"/>
      <protection/>
    </xf>
    <xf numFmtId="176" fontId="4" fillId="0" borderId="14" xfId="151" applyNumberFormat="1" applyFont="1" applyFill="1" applyBorder="1" applyAlignment="1" applyProtection="1">
      <alignment vertical="center"/>
      <protection locked="0"/>
    </xf>
    <xf numFmtId="176" fontId="4" fillId="0" borderId="14" xfId="131" applyNumberFormat="1" applyFont="1" applyFill="1" applyBorder="1" applyAlignment="1">
      <alignment horizontal="right" vertical="center"/>
      <protection/>
    </xf>
    <xf numFmtId="176" fontId="4" fillId="0" borderId="27" xfId="131" applyNumberFormat="1" applyFont="1" applyFill="1" applyBorder="1" applyAlignment="1">
      <alignment horizontal="right" vertical="center"/>
      <protection/>
    </xf>
    <xf numFmtId="176" fontId="4" fillId="0" borderId="28" xfId="131" applyNumberFormat="1" applyFont="1" applyFill="1" applyBorder="1" applyAlignment="1">
      <alignment horizontal="right" vertical="center"/>
      <protection/>
    </xf>
    <xf numFmtId="179" fontId="47" fillId="0" borderId="0" xfId="131" applyNumberFormat="1" applyFont="1" applyFill="1" applyBorder="1" applyAlignment="1">
      <alignment horizontal="right"/>
      <protection/>
    </xf>
    <xf numFmtId="179" fontId="47" fillId="0" borderId="19" xfId="131" applyNumberFormat="1" applyFont="1" applyFill="1" applyBorder="1" applyAlignment="1">
      <alignment horizontal="center" vertical="center" wrapText="1"/>
      <protection/>
    </xf>
    <xf numFmtId="0" fontId="13" fillId="0" borderId="18" xfId="0" applyNumberFormat="1" applyFont="1" applyFill="1" applyBorder="1" applyAlignment="1">
      <alignment vertical="center"/>
    </xf>
    <xf numFmtId="181" fontId="4" fillId="0" borderId="19" xfId="151" applyNumberFormat="1" applyFont="1" applyFill="1" applyBorder="1" applyAlignment="1" applyProtection="1">
      <alignment vertical="center"/>
      <protection/>
    </xf>
    <xf numFmtId="49" fontId="4" fillId="0" borderId="18" xfId="15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150" applyNumberFormat="1" applyFont="1" applyFill="1" applyBorder="1" applyAlignment="1" applyProtection="1">
      <alignment horizontal="left" vertical="center" indent="1"/>
      <protection locked="0"/>
    </xf>
    <xf numFmtId="181" fontId="4" fillId="0" borderId="22" xfId="151" applyNumberFormat="1" applyFont="1" applyFill="1" applyBorder="1" applyAlignment="1" applyProtection="1">
      <alignment vertical="center"/>
      <protection/>
    </xf>
    <xf numFmtId="49" fontId="4" fillId="0" borderId="18" xfId="150" applyNumberFormat="1" applyFont="1" applyFill="1" applyBorder="1" applyAlignment="1" applyProtection="1">
      <alignment horizontal="left" vertical="center" indent="1"/>
      <protection/>
    </xf>
    <xf numFmtId="49" fontId="4" fillId="0" borderId="24" xfId="150" applyNumberFormat="1" applyFont="1" applyFill="1" applyBorder="1" applyAlignment="1" applyProtection="1">
      <alignment horizontal="left" vertical="center" indent="1"/>
      <protection locked="0"/>
    </xf>
    <xf numFmtId="176" fontId="4" fillId="0" borderId="25" xfId="151" applyNumberFormat="1" applyFont="1" applyFill="1" applyBorder="1" applyAlignment="1" applyProtection="1">
      <alignment vertical="center"/>
      <protection locked="0"/>
    </xf>
    <xf numFmtId="176" fontId="4" fillId="0" borderId="25" xfId="131" applyNumberFormat="1" applyFont="1" applyFill="1" applyBorder="1" applyAlignment="1">
      <alignment horizontal="right"/>
      <protection/>
    </xf>
    <xf numFmtId="181" fontId="4" fillId="0" borderId="26" xfId="151" applyNumberFormat="1" applyFont="1" applyFill="1" applyBorder="1" applyAlignment="1" applyProtection="1">
      <alignment vertical="center"/>
      <protection/>
    </xf>
    <xf numFmtId="0" fontId="0" fillId="0" borderId="0" xfId="135" applyFont="1">
      <alignment/>
      <protection/>
    </xf>
    <xf numFmtId="0" fontId="11" fillId="0" borderId="0" xfId="135" applyFont="1">
      <alignment/>
      <protection/>
    </xf>
    <xf numFmtId="0" fontId="13" fillId="28" borderId="14" xfId="135" applyNumberFormat="1" applyFont="1" applyFill="1" applyBorder="1" applyAlignment="1" applyProtection="1">
      <alignment horizontal="center" vertical="center"/>
      <protection/>
    </xf>
    <xf numFmtId="0" fontId="13" fillId="28" borderId="14" xfId="135" applyNumberFormat="1" applyFont="1" applyFill="1" applyBorder="1" applyAlignment="1" applyProtection="1">
      <alignment horizontal="center" vertical="center" wrapText="1"/>
      <protection/>
    </xf>
    <xf numFmtId="0" fontId="13" fillId="28" borderId="14" xfId="135" applyNumberFormat="1" applyFont="1" applyFill="1" applyBorder="1" applyAlignment="1" applyProtection="1">
      <alignment horizontal="left" vertical="center"/>
      <protection/>
    </xf>
    <xf numFmtId="3" fontId="4" fillId="28" borderId="14" xfId="135" applyNumberFormat="1" applyFont="1" applyFill="1" applyBorder="1" applyAlignment="1" applyProtection="1">
      <alignment horizontal="right" vertical="center"/>
      <protection/>
    </xf>
    <xf numFmtId="0" fontId="4" fillId="28" borderId="14" xfId="135" applyNumberFormat="1" applyFont="1" applyFill="1" applyBorder="1" applyAlignment="1" applyProtection="1">
      <alignment horizontal="left" vertical="center"/>
      <protection/>
    </xf>
    <xf numFmtId="3" fontId="4" fillId="29" borderId="14" xfId="135" applyNumberFormat="1" applyFont="1" applyFill="1" applyBorder="1" applyAlignment="1" applyProtection="1">
      <alignment horizontal="right" vertical="center"/>
      <protection/>
    </xf>
    <xf numFmtId="3" fontId="4" fillId="28" borderId="14" xfId="135" applyNumberFormat="1" applyFont="1" applyFill="1" applyBorder="1" applyAlignment="1" applyProtection="1">
      <alignment horizontal="left" vertical="center"/>
      <protection/>
    </xf>
    <xf numFmtId="3" fontId="4" fillId="29" borderId="21" xfId="135" applyNumberFormat="1" applyFont="1" applyFill="1" applyBorder="1" applyAlignment="1" applyProtection="1">
      <alignment horizontal="right" vertical="center"/>
      <protection/>
    </xf>
    <xf numFmtId="0" fontId="4" fillId="28" borderId="29" xfId="135" applyNumberFormat="1" applyFont="1" applyFill="1" applyBorder="1" applyAlignment="1" applyProtection="1">
      <alignment horizontal="left" vertical="center"/>
      <protection/>
    </xf>
    <xf numFmtId="3" fontId="4" fillId="28" borderId="30" xfId="135" applyNumberFormat="1" applyFont="1" applyFill="1" applyBorder="1" applyAlignment="1" applyProtection="1">
      <alignment horizontal="right" vertical="center"/>
      <protection/>
    </xf>
    <xf numFmtId="3" fontId="4" fillId="29" borderId="27" xfId="135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4" fillId="0" borderId="0" xfId="152" applyFont="1">
      <alignment vertical="center"/>
      <protection/>
    </xf>
    <xf numFmtId="0" fontId="4" fillId="0" borderId="0" xfId="152" applyFont="1" applyAlignment="1">
      <alignment horizontal="right"/>
      <protection/>
    </xf>
    <xf numFmtId="0" fontId="46" fillId="0" borderId="14" xfId="152" applyFont="1" applyBorder="1" applyAlignment="1">
      <alignment horizontal="center"/>
      <protection/>
    </xf>
    <xf numFmtId="0" fontId="46" fillId="0" borderId="19" xfId="152" applyFont="1" applyBorder="1" applyAlignment="1">
      <alignment horizontal="center"/>
      <protection/>
    </xf>
    <xf numFmtId="0" fontId="46" fillId="0" borderId="18" xfId="152" applyFont="1" applyBorder="1" applyAlignment="1">
      <alignment vertical="center"/>
      <protection/>
    </xf>
    <xf numFmtId="4" fontId="4" fillId="0" borderId="14" xfId="152" applyNumberFormat="1" applyFont="1" applyBorder="1" applyAlignment="1">
      <alignment vertical="center"/>
      <protection/>
    </xf>
    <xf numFmtId="182" fontId="4" fillId="0" borderId="19" xfId="152" applyNumberFormat="1" applyFont="1" applyBorder="1">
      <alignment vertical="center"/>
      <protection/>
    </xf>
    <xf numFmtId="0" fontId="46" fillId="0" borderId="18" xfId="152" applyFont="1" applyBorder="1" applyAlignment="1">
      <alignment vertical="center" wrapText="1"/>
      <protection/>
    </xf>
    <xf numFmtId="0" fontId="46" fillId="0" borderId="24" xfId="152" applyFont="1" applyBorder="1" applyAlignment="1">
      <alignment vertical="center"/>
      <protection/>
    </xf>
    <xf numFmtId="4" fontId="4" fillId="0" borderId="25" xfId="152" applyNumberFormat="1" applyFont="1" applyBorder="1" applyAlignment="1">
      <alignment vertical="center"/>
      <protection/>
    </xf>
    <xf numFmtId="182" fontId="4" fillId="0" borderId="26" xfId="152" applyNumberFormat="1" applyFont="1" applyBorder="1">
      <alignment vertical="center"/>
      <protection/>
    </xf>
    <xf numFmtId="49" fontId="13" fillId="0" borderId="32" xfId="153" applyNumberFormat="1" applyFont="1" applyFill="1" applyBorder="1" applyAlignment="1" applyProtection="1">
      <alignment horizontal="center"/>
      <protection/>
    </xf>
    <xf numFmtId="0" fontId="13" fillId="0" borderId="0" xfId="153" applyFont="1" applyFill="1" applyAlignment="1">
      <alignment horizontal="center"/>
      <protection/>
    </xf>
    <xf numFmtId="0" fontId="13" fillId="0" borderId="0" xfId="155" applyFont="1" applyFill="1">
      <alignment/>
      <protection/>
    </xf>
    <xf numFmtId="178" fontId="13" fillId="0" borderId="0" xfId="155" applyNumberFormat="1" applyFont="1" applyFill="1" applyAlignment="1">
      <alignment horizontal="right" vertical="center"/>
      <protection/>
    </xf>
    <xf numFmtId="0" fontId="13" fillId="0" borderId="14" xfId="153" applyFont="1" applyFill="1" applyBorder="1" applyAlignment="1">
      <alignment horizontal="center" vertical="center" wrapText="1"/>
      <protection/>
    </xf>
    <xf numFmtId="0" fontId="13" fillId="0" borderId="14" xfId="153" applyFont="1" applyBorder="1" applyAlignment="1">
      <alignment horizontal="center" vertical="center" wrapText="1"/>
      <protection/>
    </xf>
    <xf numFmtId="0" fontId="4" fillId="0" borderId="14" xfId="153" applyFont="1" applyFill="1" applyBorder="1" applyAlignment="1">
      <alignment horizontal="center" vertical="center" wrapText="1"/>
      <protection/>
    </xf>
    <xf numFmtId="0" fontId="4" fillId="0" borderId="14" xfId="153" applyFont="1" applyBorder="1" applyAlignment="1">
      <alignment horizontal="center" vertical="center" wrapText="1"/>
      <protection/>
    </xf>
    <xf numFmtId="49" fontId="4" fillId="0" borderId="14" xfId="155" applyNumberFormat="1" applyFont="1" applyFill="1" applyBorder="1" applyAlignment="1" applyProtection="1">
      <alignment horizontal="center" vertical="center" wrapText="1"/>
      <protection/>
    </xf>
    <xf numFmtId="178" fontId="4" fillId="0" borderId="14" xfId="155" applyNumberFormat="1" applyFont="1" applyFill="1" applyBorder="1" applyAlignment="1" applyProtection="1">
      <alignment horizontal="right" vertical="center"/>
      <protection/>
    </xf>
    <xf numFmtId="49" fontId="4" fillId="0" borderId="14" xfId="153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314" applyFont="1" applyFill="1" applyBorder="1" applyAlignment="1">
      <alignment horizontal="left" vertical="center" wrapText="1" indent="2"/>
      <protection/>
    </xf>
    <xf numFmtId="0" fontId="4" fillId="0" borderId="14" xfId="153" applyFont="1" applyBorder="1" applyAlignment="1">
      <alignment horizontal="center" vertical="center"/>
      <protection/>
    </xf>
    <xf numFmtId="178" fontId="4" fillId="0" borderId="14" xfId="155" applyNumberFormat="1" applyFont="1" applyFill="1" applyBorder="1">
      <alignment/>
      <protection/>
    </xf>
    <xf numFmtId="0" fontId="4" fillId="0" borderId="14" xfId="153" applyFont="1" applyBorder="1" applyAlignment="1">
      <alignment horizontal="center"/>
      <protection/>
    </xf>
    <xf numFmtId="49" fontId="13" fillId="0" borderId="32" xfId="153" applyNumberFormat="1" applyFont="1" applyFill="1" applyBorder="1" applyAlignment="1" applyProtection="1">
      <alignment/>
      <protection/>
    </xf>
    <xf numFmtId="0" fontId="13" fillId="0" borderId="0" xfId="153" applyFont="1" applyFill="1" applyAlignment="1">
      <alignment/>
      <protection/>
    </xf>
    <xf numFmtId="0" fontId="13" fillId="0" borderId="0" xfId="155" applyFont="1" applyFill="1" applyAlignment="1">
      <alignment horizontal="right" vertical="center"/>
      <protection/>
    </xf>
    <xf numFmtId="0" fontId="13" fillId="0" borderId="14" xfId="153" applyNumberFormat="1" applyFont="1" applyFill="1" applyBorder="1" applyAlignment="1" applyProtection="1">
      <alignment horizontal="centerContinuous" vertical="center"/>
      <protection/>
    </xf>
    <xf numFmtId="176" fontId="4" fillId="0" borderId="14" xfId="155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28" borderId="14" xfId="135" applyNumberFormat="1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9" fillId="0" borderId="0" xfId="0" applyNumberFormat="1" applyFont="1" applyFill="1" applyAlignment="1" applyProtection="1">
      <alignment vertical="center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180" fontId="9" fillId="0" borderId="14" xfId="0" applyNumberFormat="1" applyFont="1" applyFill="1" applyBorder="1" applyAlignment="1" applyProtection="1">
      <alignment horizontal="right" vertical="center" wrapText="1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180" fontId="9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79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Font="1" applyFill="1" applyBorder="1" applyAlignment="1">
      <alignment vertical="center"/>
    </xf>
    <xf numFmtId="49" fontId="9" fillId="0" borderId="18" xfId="135" applyNumberFormat="1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9" fontId="11" fillId="0" borderId="18" xfId="135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180" fontId="9" fillId="0" borderId="30" xfId="0" applyNumberFormat="1" applyFont="1" applyFill="1" applyBorder="1" applyAlignment="1" applyProtection="1">
      <alignment horizontal="right" vertical="center" wrapText="1"/>
      <protection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180" fontId="11" fillId="0" borderId="19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>
      <alignment horizontal="left" vertical="center"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180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25" xfId="0" applyFont="1" applyFill="1" applyBorder="1" applyAlignment="1">
      <alignment vertical="center"/>
    </xf>
    <xf numFmtId="179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26" xfId="0" applyFont="1" applyFill="1" applyBorder="1" applyAlignment="1">
      <alignment vertical="center"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180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80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78" fontId="4" fillId="0" borderId="14" xfId="155" applyNumberFormat="1" applyFont="1" applyFill="1" applyBorder="1" applyAlignment="1">
      <alignment vertical="center"/>
      <protection/>
    </xf>
    <xf numFmtId="176" fontId="4" fillId="0" borderId="14" xfId="155" applyNumberFormat="1" applyFont="1" applyFill="1" applyBorder="1" applyAlignment="1">
      <alignment vertical="center"/>
      <protection/>
    </xf>
    <xf numFmtId="179" fontId="4" fillId="0" borderId="14" xfId="135" applyNumberFormat="1" applyFont="1" applyBorder="1" applyAlignment="1">
      <alignment vertical="center"/>
      <protection/>
    </xf>
    <xf numFmtId="0" fontId="4" fillId="0" borderId="14" xfId="135" applyFont="1" applyBorder="1" applyAlignment="1">
      <alignment vertical="center"/>
      <protection/>
    </xf>
    <xf numFmtId="0" fontId="4" fillId="0" borderId="14" xfId="156" applyFont="1" applyBorder="1" applyAlignment="1">
      <alignment vertical="center"/>
      <protection/>
    </xf>
    <xf numFmtId="49" fontId="4" fillId="0" borderId="18" xfId="150" applyNumberFormat="1" applyFont="1" applyFill="1" applyBorder="1" applyAlignment="1" applyProtection="1">
      <alignment horizontal="left" vertical="center" indent="1"/>
      <protection locked="0"/>
    </xf>
    <xf numFmtId="185" fontId="4" fillId="0" borderId="14" xfId="152" applyNumberFormat="1" applyFont="1" applyBorder="1" applyAlignment="1">
      <alignment vertical="center"/>
      <protection/>
    </xf>
    <xf numFmtId="185" fontId="4" fillId="0" borderId="14" xfId="152" applyNumberFormat="1" applyFont="1" applyBorder="1">
      <alignment vertical="center"/>
      <protection/>
    </xf>
    <xf numFmtId="185" fontId="4" fillId="0" borderId="25" xfId="152" applyNumberFormat="1" applyFont="1" applyBorder="1">
      <alignment vertical="center"/>
      <protection/>
    </xf>
    <xf numFmtId="185" fontId="4" fillId="0" borderId="25" xfId="152" applyNumberFormat="1" applyFont="1" applyBorder="1" applyAlignment="1">
      <alignment vertical="center"/>
      <protection/>
    </xf>
    <xf numFmtId="0" fontId="8" fillId="0" borderId="0" xfId="156" applyFont="1" applyAlignment="1">
      <alignment horizontal="center" vertical="center"/>
      <protection/>
    </xf>
    <xf numFmtId="0" fontId="13" fillId="0" borderId="14" xfId="131" applyFont="1" applyFill="1" applyBorder="1" applyAlignment="1">
      <alignment horizontal="center" vertical="center" wrapText="1"/>
      <protection/>
    </xf>
    <xf numFmtId="0" fontId="13" fillId="0" borderId="14" xfId="156" applyFont="1" applyFill="1" applyBorder="1" applyAlignment="1">
      <alignment horizontal="center" vertical="center" wrapText="1"/>
      <protection/>
    </xf>
    <xf numFmtId="181" fontId="13" fillId="0" borderId="14" xfId="131" applyNumberFormat="1" applyFont="1" applyFill="1" applyBorder="1" applyAlignment="1">
      <alignment horizontal="center" vertical="center" wrapText="1"/>
      <protection/>
    </xf>
    <xf numFmtId="181" fontId="13" fillId="0" borderId="14" xfId="131" applyNumberFormat="1" applyFont="1" applyFill="1" applyBorder="1" applyAlignment="1">
      <alignment horizontal="center" vertical="center" wrapText="1"/>
      <protection/>
    </xf>
    <xf numFmtId="0" fontId="8" fillId="0" borderId="0" xfId="131" applyFont="1" applyFill="1" applyBorder="1" applyAlignment="1">
      <alignment horizontal="center" vertical="center"/>
      <protection/>
    </xf>
    <xf numFmtId="0" fontId="8" fillId="0" borderId="0" xfId="131" applyFont="1" applyFill="1" applyBorder="1" applyAlignment="1">
      <alignment horizontal="center" vertical="center"/>
      <protection/>
    </xf>
    <xf numFmtId="0" fontId="13" fillId="0" borderId="33" xfId="131" applyFont="1" applyFill="1" applyBorder="1" applyAlignment="1">
      <alignment horizontal="center" vertical="center" shrinkToFit="1"/>
      <protection/>
    </xf>
    <xf numFmtId="0" fontId="13" fillId="0" borderId="34" xfId="131" applyFont="1" applyFill="1" applyBorder="1" applyAlignment="1">
      <alignment horizontal="center" vertical="center" shrinkToFit="1"/>
      <protection/>
    </xf>
    <xf numFmtId="0" fontId="50" fillId="0" borderId="15" xfId="131" applyFont="1" applyFill="1" applyBorder="1" applyAlignment="1">
      <alignment horizontal="center" vertical="center"/>
      <protection/>
    </xf>
    <xf numFmtId="0" fontId="50" fillId="0" borderId="35" xfId="131" applyFont="1" applyFill="1" applyBorder="1" applyAlignment="1">
      <alignment horizontal="center" vertical="center"/>
      <protection/>
    </xf>
    <xf numFmtId="181" fontId="50" fillId="0" borderId="16" xfId="131" applyNumberFormat="1" applyFont="1" applyFill="1" applyBorder="1" applyAlignment="1">
      <alignment horizontal="center" vertical="center" wrapText="1"/>
      <protection/>
    </xf>
    <xf numFmtId="181" fontId="50" fillId="0" borderId="14" xfId="131" applyNumberFormat="1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180" fontId="13" fillId="0" borderId="16" xfId="0" applyNumberFormat="1" applyFont="1" applyFill="1" applyBorder="1" applyAlignment="1" applyProtection="1">
      <alignment horizontal="center" vertical="center" wrapText="1"/>
      <protection/>
    </xf>
    <xf numFmtId="18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3" fontId="48" fillId="0" borderId="0" xfId="154" applyNumberFormat="1" applyFont="1" applyAlignment="1" applyProtection="1">
      <alignment horizontal="center" vertical="center"/>
      <protection locked="0"/>
    </xf>
    <xf numFmtId="0" fontId="8" fillId="0" borderId="0" xfId="153" applyNumberFormat="1" applyFont="1" applyFill="1" applyAlignment="1" applyProtection="1">
      <alignment horizontal="center" vertical="center" wrapText="1"/>
      <protection/>
    </xf>
    <xf numFmtId="0" fontId="12" fillId="0" borderId="0" xfId="153" applyNumberFormat="1" applyFont="1" applyFill="1" applyAlignment="1" applyProtection="1">
      <alignment horizontal="center" vertical="center" wrapText="1"/>
      <protection/>
    </xf>
    <xf numFmtId="0" fontId="13" fillId="0" borderId="29" xfId="153" applyNumberFormat="1" applyFont="1" applyFill="1" applyBorder="1" applyAlignment="1" applyProtection="1">
      <alignment horizontal="center" vertical="center"/>
      <protection/>
    </xf>
    <xf numFmtId="0" fontId="13" fillId="0" borderId="30" xfId="153" applyNumberFormat="1" applyFont="1" applyFill="1" applyBorder="1" applyAlignment="1" applyProtection="1">
      <alignment horizontal="center" vertical="center"/>
      <protection/>
    </xf>
    <xf numFmtId="0" fontId="13" fillId="0" borderId="14" xfId="155" applyNumberFormat="1" applyFont="1" applyFill="1" applyBorder="1" applyAlignment="1" applyProtection="1">
      <alignment horizontal="center" vertical="center"/>
      <protection/>
    </xf>
    <xf numFmtId="178" fontId="13" fillId="0" borderId="14" xfId="155" applyNumberFormat="1" applyFont="1" applyFill="1" applyBorder="1" applyAlignment="1">
      <alignment horizontal="center" vertical="center"/>
      <protection/>
    </xf>
    <xf numFmtId="0" fontId="8" fillId="0" borderId="0" xfId="153" applyNumberFormat="1" applyFont="1" applyFill="1" applyAlignment="1" applyProtection="1">
      <alignment horizontal="center" vertical="center" wrapText="1"/>
      <protection/>
    </xf>
    <xf numFmtId="0" fontId="13" fillId="0" borderId="21" xfId="155" applyNumberFormat="1" applyFont="1" applyFill="1" applyBorder="1" applyAlignment="1" applyProtection="1">
      <alignment horizontal="center" vertical="center"/>
      <protection/>
    </xf>
    <xf numFmtId="0" fontId="13" fillId="0" borderId="27" xfId="155" applyNumberFormat="1" applyFont="1" applyFill="1" applyBorder="1" applyAlignment="1" applyProtection="1">
      <alignment horizontal="center" vertical="center"/>
      <protection/>
    </xf>
    <xf numFmtId="0" fontId="13" fillId="0" borderId="21" xfId="155" applyFont="1" applyFill="1" applyBorder="1" applyAlignment="1">
      <alignment horizontal="center" vertical="center"/>
      <protection/>
    </xf>
    <xf numFmtId="0" fontId="13" fillId="0" borderId="27" xfId="155" applyFont="1" applyFill="1" applyBorder="1" applyAlignment="1">
      <alignment horizontal="center" vertical="center"/>
      <protection/>
    </xf>
    <xf numFmtId="0" fontId="8" fillId="18" borderId="0" xfId="135" applyNumberFormat="1" applyFont="1" applyFill="1" applyAlignment="1" applyProtection="1">
      <alignment horizontal="center" vertical="center"/>
      <protection/>
    </xf>
    <xf numFmtId="0" fontId="8" fillId="18" borderId="0" xfId="135" applyNumberFormat="1" applyFont="1" applyFill="1" applyAlignment="1" applyProtection="1">
      <alignment horizontal="center" vertical="center"/>
      <protection/>
    </xf>
    <xf numFmtId="0" fontId="4" fillId="0" borderId="0" xfId="135" applyNumberFormat="1" applyFont="1" applyFill="1" applyAlignment="1" applyProtection="1">
      <alignment horizontal="right" vertical="center"/>
      <protection/>
    </xf>
    <xf numFmtId="0" fontId="5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6" fillId="0" borderId="0" xfId="152" applyFont="1" applyAlignment="1">
      <alignment horizontal="center" vertical="center"/>
      <protection/>
    </xf>
    <xf numFmtId="0" fontId="46" fillId="0" borderId="31" xfId="152" applyFont="1" applyBorder="1" applyAlignment="1">
      <alignment horizontal="center" vertical="center"/>
      <protection/>
    </xf>
    <xf numFmtId="0" fontId="46" fillId="0" borderId="18" xfId="152" applyFont="1" applyBorder="1" applyAlignment="1">
      <alignment horizontal="center" vertical="center"/>
      <protection/>
    </xf>
    <xf numFmtId="0" fontId="46" fillId="0" borderId="16" xfId="152" applyFont="1" applyBorder="1" applyAlignment="1">
      <alignment horizontal="center" vertical="center"/>
      <protection/>
    </xf>
    <xf numFmtId="0" fontId="46" fillId="0" borderId="14" xfId="152" applyFont="1" applyBorder="1" applyAlignment="1">
      <alignment horizontal="center" vertical="center"/>
      <protection/>
    </xf>
    <xf numFmtId="0" fontId="46" fillId="0" borderId="16" xfId="152" applyFont="1" applyBorder="1" applyAlignment="1">
      <alignment horizontal="center"/>
      <protection/>
    </xf>
    <xf numFmtId="0" fontId="46" fillId="0" borderId="17" xfId="152" applyFont="1" applyBorder="1" applyAlignment="1">
      <alignment horizontal="center"/>
      <protection/>
    </xf>
  </cellXfs>
  <cellStyles count="3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10" xfId="55"/>
    <cellStyle name="标题 1 2 11" xfId="56"/>
    <cellStyle name="标题 1 2 1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1 2 8" xfId="64"/>
    <cellStyle name="标题 1 2 9" xfId="65"/>
    <cellStyle name="标题 2" xfId="66"/>
    <cellStyle name="标题 2 2" xfId="67"/>
    <cellStyle name="标题 2 2 10" xfId="68"/>
    <cellStyle name="标题 2 2 11" xfId="69"/>
    <cellStyle name="标题 2 2 12" xfId="70"/>
    <cellStyle name="标题 2 2 2" xfId="71"/>
    <cellStyle name="标题 2 2 3" xfId="72"/>
    <cellStyle name="标题 2 2 4" xfId="73"/>
    <cellStyle name="标题 2 2 5" xfId="74"/>
    <cellStyle name="标题 2 2 6" xfId="75"/>
    <cellStyle name="标题 2 2 7" xfId="76"/>
    <cellStyle name="标题 2 2 8" xfId="77"/>
    <cellStyle name="标题 2 2 9" xfId="78"/>
    <cellStyle name="标题 3" xfId="79"/>
    <cellStyle name="标题 3 2" xfId="80"/>
    <cellStyle name="标题 3 2 10" xfId="81"/>
    <cellStyle name="标题 3 2 11" xfId="82"/>
    <cellStyle name="标题 3 2 12" xfId="83"/>
    <cellStyle name="标题 3 2 2" xfId="84"/>
    <cellStyle name="标题 3 2 3" xfId="85"/>
    <cellStyle name="标题 3 2 4" xfId="86"/>
    <cellStyle name="标题 3 2 5" xfId="87"/>
    <cellStyle name="标题 3 2 6" xfId="88"/>
    <cellStyle name="标题 3 2 7" xfId="89"/>
    <cellStyle name="标题 3 2 8" xfId="90"/>
    <cellStyle name="标题 3 2 9" xfId="91"/>
    <cellStyle name="标题 4" xfId="92"/>
    <cellStyle name="标题 4 2" xfId="93"/>
    <cellStyle name="标题 4 2 10" xfId="94"/>
    <cellStyle name="标题 4 2 11" xfId="95"/>
    <cellStyle name="标题 4 2 12" xfId="96"/>
    <cellStyle name="标题 4 2 2" xfId="97"/>
    <cellStyle name="标题 4 2 3" xfId="98"/>
    <cellStyle name="标题 4 2 4" xfId="99"/>
    <cellStyle name="标题 4 2 5" xfId="100"/>
    <cellStyle name="标题 4 2 6" xfId="101"/>
    <cellStyle name="标题 4 2 7" xfId="102"/>
    <cellStyle name="标题 4 2 8" xfId="103"/>
    <cellStyle name="标题 4 2 9" xfId="104"/>
    <cellStyle name="标题 5" xfId="105"/>
    <cellStyle name="标题 5 10" xfId="106"/>
    <cellStyle name="标题 5 11" xfId="107"/>
    <cellStyle name="标题 5 12" xfId="108"/>
    <cellStyle name="标题 5 2" xfId="109"/>
    <cellStyle name="标题 5 3" xfId="110"/>
    <cellStyle name="标题 5 4" xfId="111"/>
    <cellStyle name="标题 5 5" xfId="112"/>
    <cellStyle name="标题 5 6" xfId="113"/>
    <cellStyle name="标题 5 7" xfId="114"/>
    <cellStyle name="标题 5 8" xfId="115"/>
    <cellStyle name="标题 5 9" xfId="116"/>
    <cellStyle name="差" xfId="117"/>
    <cellStyle name="差 2" xfId="118"/>
    <cellStyle name="差 2 10" xfId="119"/>
    <cellStyle name="差 2 11" xfId="120"/>
    <cellStyle name="差 2 12" xfId="121"/>
    <cellStyle name="差 2 2" xfId="122"/>
    <cellStyle name="差 2 3" xfId="123"/>
    <cellStyle name="差 2 4" xfId="124"/>
    <cellStyle name="差 2 5" xfId="125"/>
    <cellStyle name="差 2 6" xfId="126"/>
    <cellStyle name="差 2 7" xfId="127"/>
    <cellStyle name="差 2 8" xfId="128"/>
    <cellStyle name="差 2 9" xfId="129"/>
    <cellStyle name="差 3" xfId="130"/>
    <cellStyle name="常规 2" xfId="131"/>
    <cellStyle name="常规 2 2" xfId="132"/>
    <cellStyle name="常规 2 3" xfId="133"/>
    <cellStyle name="常规 2 4" xfId="134"/>
    <cellStyle name="常规 3" xfId="135"/>
    <cellStyle name="常规 3 10" xfId="136"/>
    <cellStyle name="常规 3 11" xfId="137"/>
    <cellStyle name="常规 3 2" xfId="138"/>
    <cellStyle name="常规 3 2 2" xfId="139"/>
    <cellStyle name="常规 3 3" xfId="140"/>
    <cellStyle name="常规 3 4" xfId="141"/>
    <cellStyle name="常规 3 5" xfId="142"/>
    <cellStyle name="常规 3 6" xfId="143"/>
    <cellStyle name="常规 3 7" xfId="144"/>
    <cellStyle name="常规 3 8" xfId="145"/>
    <cellStyle name="常规 3 9" xfId="146"/>
    <cellStyle name="常规 3_2017年预算 - 县区12-19" xfId="147"/>
    <cellStyle name="常规 4" xfId="148"/>
    <cellStyle name="常规 5" xfId="149"/>
    <cellStyle name="常规_2007年市本级支出预算总表（报出表）" xfId="150"/>
    <cellStyle name="常规_2008年支出预算" xfId="151"/>
    <cellStyle name="常规_2014年政府预算公开模板" xfId="152"/>
    <cellStyle name="常规_20150306181035" xfId="153"/>
    <cellStyle name="常规_2016年县乡财政平衡" xfId="154"/>
    <cellStyle name="常规_2016年预算(含省提前告知）新" xfId="155"/>
    <cellStyle name="常规_全" xfId="156"/>
    <cellStyle name="Hyperlink" xfId="157"/>
    <cellStyle name="好" xfId="158"/>
    <cellStyle name="好 2" xfId="159"/>
    <cellStyle name="好 2 10" xfId="160"/>
    <cellStyle name="好 2 11" xfId="161"/>
    <cellStyle name="好 2 12" xfId="162"/>
    <cellStyle name="好 2 2" xfId="163"/>
    <cellStyle name="好 2 3" xfId="164"/>
    <cellStyle name="好 2 4" xfId="165"/>
    <cellStyle name="好 2 5" xfId="166"/>
    <cellStyle name="好 2 6" xfId="167"/>
    <cellStyle name="好 2 7" xfId="168"/>
    <cellStyle name="好 2 8" xfId="169"/>
    <cellStyle name="好 2 9" xfId="170"/>
    <cellStyle name="好 3" xfId="171"/>
    <cellStyle name="汇总" xfId="172"/>
    <cellStyle name="汇总 2" xfId="173"/>
    <cellStyle name="汇总 2 10" xfId="174"/>
    <cellStyle name="汇总 2 11" xfId="175"/>
    <cellStyle name="汇总 2 12" xfId="176"/>
    <cellStyle name="汇总 2 2" xfId="177"/>
    <cellStyle name="汇总 2 3" xfId="178"/>
    <cellStyle name="汇总 2 4" xfId="179"/>
    <cellStyle name="汇总 2 5" xfId="180"/>
    <cellStyle name="汇总 2 6" xfId="181"/>
    <cellStyle name="汇总 2 7" xfId="182"/>
    <cellStyle name="汇总 2 8" xfId="183"/>
    <cellStyle name="汇总 2 9" xfId="184"/>
    <cellStyle name="Currency" xfId="185"/>
    <cellStyle name="Currency [0]" xfId="186"/>
    <cellStyle name="计算" xfId="187"/>
    <cellStyle name="计算 2" xfId="188"/>
    <cellStyle name="计算 2 10" xfId="189"/>
    <cellStyle name="计算 2 11" xfId="190"/>
    <cellStyle name="计算 2 12" xfId="191"/>
    <cellStyle name="计算 2 2" xfId="192"/>
    <cellStyle name="计算 2 3" xfId="193"/>
    <cellStyle name="计算 2 4" xfId="194"/>
    <cellStyle name="计算 2 5" xfId="195"/>
    <cellStyle name="计算 2 6" xfId="196"/>
    <cellStyle name="计算 2 7" xfId="197"/>
    <cellStyle name="计算 2 8" xfId="198"/>
    <cellStyle name="计算 2 9" xfId="199"/>
    <cellStyle name="计算 3" xfId="200"/>
    <cellStyle name="检查单元格" xfId="201"/>
    <cellStyle name="检查单元格 2" xfId="202"/>
    <cellStyle name="检查单元格 2 10" xfId="203"/>
    <cellStyle name="检查单元格 2 11" xfId="204"/>
    <cellStyle name="检查单元格 2 12" xfId="205"/>
    <cellStyle name="检查单元格 2 2" xfId="206"/>
    <cellStyle name="检查单元格 2 3" xfId="207"/>
    <cellStyle name="检查单元格 2 4" xfId="208"/>
    <cellStyle name="检查单元格 2 5" xfId="209"/>
    <cellStyle name="检查单元格 2 6" xfId="210"/>
    <cellStyle name="检查单元格 2 7" xfId="211"/>
    <cellStyle name="检查单元格 2 8" xfId="212"/>
    <cellStyle name="检查单元格 2 9" xfId="213"/>
    <cellStyle name="检查单元格 3" xfId="214"/>
    <cellStyle name="解释性文本" xfId="215"/>
    <cellStyle name="解释性文本 2" xfId="216"/>
    <cellStyle name="解释性文本 2 10" xfId="217"/>
    <cellStyle name="解释性文本 2 11" xfId="218"/>
    <cellStyle name="解释性文本 2 12" xfId="219"/>
    <cellStyle name="解释性文本 2 2" xfId="220"/>
    <cellStyle name="解释性文本 2 3" xfId="221"/>
    <cellStyle name="解释性文本 2 4" xfId="222"/>
    <cellStyle name="解释性文本 2 5" xfId="223"/>
    <cellStyle name="解释性文本 2 6" xfId="224"/>
    <cellStyle name="解释性文本 2 7" xfId="225"/>
    <cellStyle name="解释性文本 2 8" xfId="226"/>
    <cellStyle name="解释性文本 2 9" xfId="227"/>
    <cellStyle name="警告文本" xfId="228"/>
    <cellStyle name="警告文本 2" xfId="229"/>
    <cellStyle name="警告文本 2 10" xfId="230"/>
    <cellStyle name="警告文本 2 11" xfId="231"/>
    <cellStyle name="警告文本 2 12" xfId="232"/>
    <cellStyle name="警告文本 2 2" xfId="233"/>
    <cellStyle name="警告文本 2 3" xfId="234"/>
    <cellStyle name="警告文本 2 4" xfId="235"/>
    <cellStyle name="警告文本 2 5" xfId="236"/>
    <cellStyle name="警告文本 2 6" xfId="237"/>
    <cellStyle name="警告文本 2 7" xfId="238"/>
    <cellStyle name="警告文本 2 8" xfId="239"/>
    <cellStyle name="警告文本 2 9" xfId="240"/>
    <cellStyle name="链接单元格" xfId="241"/>
    <cellStyle name="链接单元格 2" xfId="242"/>
    <cellStyle name="链接单元格 2 10" xfId="243"/>
    <cellStyle name="链接单元格 2 11" xfId="244"/>
    <cellStyle name="链接单元格 2 12" xfId="245"/>
    <cellStyle name="链接单元格 2 2" xfId="246"/>
    <cellStyle name="链接单元格 2 3" xfId="247"/>
    <cellStyle name="链接单元格 2 4" xfId="248"/>
    <cellStyle name="链接单元格 2 5" xfId="249"/>
    <cellStyle name="链接单元格 2 6" xfId="250"/>
    <cellStyle name="链接单元格 2 7" xfId="251"/>
    <cellStyle name="链接单元格 2 8" xfId="252"/>
    <cellStyle name="链接单元格 2 9" xfId="253"/>
    <cellStyle name="Comma" xfId="254"/>
    <cellStyle name="千位分隔 2" xfId="255"/>
    <cellStyle name="千位分隔 2 2" xfId="256"/>
    <cellStyle name="千位分隔 2 3" xfId="257"/>
    <cellStyle name="千位分隔 2 4" xfId="258"/>
    <cellStyle name="Comma [0]" xfId="259"/>
    <cellStyle name="强调文字颜色 1" xfId="260"/>
    <cellStyle name="强调文字颜色 1 2" xfId="261"/>
    <cellStyle name="强调文字颜色 2" xfId="262"/>
    <cellStyle name="强调文字颜色 2 2" xfId="263"/>
    <cellStyle name="强调文字颜色 3" xfId="264"/>
    <cellStyle name="强调文字颜色 3 2" xfId="265"/>
    <cellStyle name="强调文字颜色 4" xfId="266"/>
    <cellStyle name="强调文字颜色 4 2" xfId="267"/>
    <cellStyle name="强调文字颜色 5" xfId="268"/>
    <cellStyle name="强调文字颜色 5 2" xfId="269"/>
    <cellStyle name="强调文字颜色 6" xfId="270"/>
    <cellStyle name="强调文字颜色 6 2" xfId="271"/>
    <cellStyle name="适中" xfId="272"/>
    <cellStyle name="适中 2" xfId="273"/>
    <cellStyle name="适中 2 10" xfId="274"/>
    <cellStyle name="适中 2 11" xfId="275"/>
    <cellStyle name="适中 2 12" xfId="276"/>
    <cellStyle name="适中 2 2" xfId="277"/>
    <cellStyle name="适中 2 3" xfId="278"/>
    <cellStyle name="适中 2 4" xfId="279"/>
    <cellStyle name="适中 2 5" xfId="280"/>
    <cellStyle name="适中 2 6" xfId="281"/>
    <cellStyle name="适中 2 7" xfId="282"/>
    <cellStyle name="适中 2 8" xfId="283"/>
    <cellStyle name="适中 2 9" xfId="284"/>
    <cellStyle name="适中 3" xfId="285"/>
    <cellStyle name="输出" xfId="286"/>
    <cellStyle name="输出 2" xfId="287"/>
    <cellStyle name="输出 2 10" xfId="288"/>
    <cellStyle name="输出 2 11" xfId="289"/>
    <cellStyle name="输出 2 12" xfId="290"/>
    <cellStyle name="输出 2 2" xfId="291"/>
    <cellStyle name="输出 2 3" xfId="292"/>
    <cellStyle name="输出 2 4" xfId="293"/>
    <cellStyle name="输出 2 5" xfId="294"/>
    <cellStyle name="输出 2 6" xfId="295"/>
    <cellStyle name="输出 2 7" xfId="296"/>
    <cellStyle name="输出 2 8" xfId="297"/>
    <cellStyle name="输出 2 9" xfId="298"/>
    <cellStyle name="输出 3" xfId="299"/>
    <cellStyle name="输入" xfId="300"/>
    <cellStyle name="输入 2" xfId="301"/>
    <cellStyle name="输入 2 10" xfId="302"/>
    <cellStyle name="输入 2 11" xfId="303"/>
    <cellStyle name="输入 2 12" xfId="304"/>
    <cellStyle name="输入 2 2" xfId="305"/>
    <cellStyle name="输入 2 3" xfId="306"/>
    <cellStyle name="输入 2 4" xfId="307"/>
    <cellStyle name="输入 2 5" xfId="308"/>
    <cellStyle name="输入 2 6" xfId="309"/>
    <cellStyle name="输入 2 7" xfId="310"/>
    <cellStyle name="输入 2 8" xfId="311"/>
    <cellStyle name="输入 2 9" xfId="312"/>
    <cellStyle name="输入 3" xfId="313"/>
    <cellStyle name="样式 1" xfId="314"/>
    <cellStyle name="Followed Hyperlink" xfId="315"/>
    <cellStyle name="注释" xfId="316"/>
    <cellStyle name="注释 2" xfId="317"/>
    <cellStyle name="注释 2 10" xfId="318"/>
    <cellStyle name="注释 2 11" xfId="319"/>
    <cellStyle name="注释 2 12" xfId="320"/>
    <cellStyle name="注释 2 2" xfId="321"/>
    <cellStyle name="注释 2 3" xfId="322"/>
    <cellStyle name="注释 2 4" xfId="323"/>
    <cellStyle name="注释 2 5" xfId="324"/>
    <cellStyle name="注释 2 6" xfId="325"/>
    <cellStyle name="注释 2 7" xfId="326"/>
    <cellStyle name="注释 2 8" xfId="327"/>
    <cellStyle name="注释 2 9" xfId="328"/>
    <cellStyle name="注释 3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04.875" style="0" customWidth="1"/>
  </cols>
  <sheetData>
    <row r="1" ht="24.75" customHeight="1"/>
    <row r="2" s="34" customFormat="1" ht="40.5" customHeight="1">
      <c r="A2" s="35" t="s">
        <v>0</v>
      </c>
    </row>
    <row r="3" ht="15" customHeight="1"/>
    <row r="4" s="2" customFormat="1" ht="33" customHeight="1">
      <c r="A4" s="2" t="s">
        <v>377</v>
      </c>
    </row>
    <row r="5" s="2" customFormat="1" ht="33" customHeight="1">
      <c r="A5" s="2" t="s">
        <v>378</v>
      </c>
    </row>
    <row r="6" s="2" customFormat="1" ht="33" customHeight="1">
      <c r="A6" s="2" t="s">
        <v>767</v>
      </c>
    </row>
    <row r="7" s="1" customFormat="1" ht="33" customHeight="1">
      <c r="A7" s="1" t="s">
        <v>715</v>
      </c>
    </row>
    <row r="8" s="2" customFormat="1" ht="33" customHeight="1">
      <c r="A8" s="2" t="s">
        <v>768</v>
      </c>
    </row>
    <row r="9" s="2" customFormat="1" ht="33" customHeight="1">
      <c r="A9" s="2" t="s">
        <v>379</v>
      </c>
    </row>
    <row r="10" s="2" customFormat="1" ht="33" customHeight="1">
      <c r="A10" s="2" t="s">
        <v>769</v>
      </c>
    </row>
    <row r="11" s="2" customFormat="1" ht="33" customHeight="1">
      <c r="A11" s="2" t="s">
        <v>714</v>
      </c>
    </row>
    <row r="12" s="2" customFormat="1" ht="33" customHeight="1">
      <c r="A12" s="36" t="s">
        <v>789</v>
      </c>
    </row>
    <row r="13" s="2" customFormat="1" ht="39.75" customHeight="1">
      <c r="A13" s="36"/>
    </row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1" right="0.71" top="0.75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0"/>
  <sheetViews>
    <sheetView tabSelected="1" zoomScalePageLayoutView="0" workbookViewId="0" topLeftCell="A1">
      <selection activeCell="C20" sqref="C20"/>
    </sheetView>
  </sheetViews>
  <sheetFormatPr defaultColWidth="9.00390625" defaultRowHeight="14.25"/>
  <cols>
    <col min="1" max="1" width="34.25390625" style="25" customWidth="1"/>
    <col min="2" max="2" width="11.875" style="25" customWidth="1"/>
    <col min="3" max="3" width="14.50390625" style="25" customWidth="1"/>
    <col min="4" max="4" width="11.375" style="25" customWidth="1"/>
    <col min="5" max="5" width="14.125" style="25" customWidth="1"/>
    <col min="6" max="16384" width="9.00390625" style="25" customWidth="1"/>
  </cols>
  <sheetData>
    <row r="1" spans="1:5" s="119" customFormat="1" ht="24" customHeight="1">
      <c r="A1" s="255" t="s">
        <v>786</v>
      </c>
      <c r="B1" s="255"/>
      <c r="C1" s="255"/>
      <c r="D1" s="255"/>
      <c r="E1" s="255"/>
    </row>
    <row r="2" spans="1:5" ht="15" thickBot="1">
      <c r="A2" s="120"/>
      <c r="B2" s="96"/>
      <c r="C2" s="96"/>
      <c r="D2" s="96"/>
      <c r="E2" s="121" t="s">
        <v>1</v>
      </c>
    </row>
    <row r="3" spans="1:5" ht="16.5" customHeight="1">
      <c r="A3" s="256" t="s">
        <v>33</v>
      </c>
      <c r="B3" s="258" t="s">
        <v>742</v>
      </c>
      <c r="C3" s="258" t="s">
        <v>743</v>
      </c>
      <c r="D3" s="260" t="s">
        <v>744</v>
      </c>
      <c r="E3" s="261"/>
    </row>
    <row r="4" spans="1:5" ht="16.5" customHeight="1">
      <c r="A4" s="257"/>
      <c r="B4" s="259"/>
      <c r="C4" s="259"/>
      <c r="D4" s="122" t="s">
        <v>4</v>
      </c>
      <c r="E4" s="123" t="s">
        <v>705</v>
      </c>
    </row>
    <row r="5" spans="1:5" ht="16.5" customHeight="1">
      <c r="A5" s="124" t="s">
        <v>706</v>
      </c>
      <c r="B5" s="210">
        <f>B6+B7+B8</f>
        <v>1285</v>
      </c>
      <c r="C5" s="210">
        <f>C7+C8</f>
        <v>957</v>
      </c>
      <c r="D5" s="125">
        <f aca="true" t="shared" si="0" ref="D5:D10">C5-B5</f>
        <v>-328</v>
      </c>
      <c r="E5" s="126">
        <f>D5/B5*100</f>
        <v>-25.525291828793772</v>
      </c>
    </row>
    <row r="6" spans="1:5" ht="16.5" customHeight="1">
      <c r="A6" s="127" t="s">
        <v>707</v>
      </c>
      <c r="B6" s="211"/>
      <c r="C6" s="211"/>
      <c r="D6" s="125">
        <f t="shared" si="0"/>
        <v>0</v>
      </c>
      <c r="E6" s="126"/>
    </row>
    <row r="7" spans="1:5" ht="16.5" customHeight="1">
      <c r="A7" s="124" t="s">
        <v>708</v>
      </c>
      <c r="B7" s="211">
        <v>279</v>
      </c>
      <c r="C7" s="210">
        <v>165</v>
      </c>
      <c r="D7" s="125">
        <f t="shared" si="0"/>
        <v>-114</v>
      </c>
      <c r="E7" s="126">
        <f>D7/B7*100</f>
        <v>-40.86021505376344</v>
      </c>
    </row>
    <row r="8" spans="1:5" ht="16.5" customHeight="1">
      <c r="A8" s="124" t="s">
        <v>709</v>
      </c>
      <c r="B8" s="211">
        <f>B9+B10</f>
        <v>1006</v>
      </c>
      <c r="C8" s="211">
        <f>C9+C10</f>
        <v>792</v>
      </c>
      <c r="D8" s="125">
        <f t="shared" si="0"/>
        <v>-214</v>
      </c>
      <c r="E8" s="126">
        <f>D8/B8*100</f>
        <v>-21.272365805168985</v>
      </c>
    </row>
    <row r="9" spans="1:5" ht="16.5" customHeight="1">
      <c r="A9" s="124" t="s">
        <v>710</v>
      </c>
      <c r="B9" s="211"/>
      <c r="C9" s="211"/>
      <c r="D9" s="125">
        <f t="shared" si="0"/>
        <v>0</v>
      </c>
      <c r="E9" s="126"/>
    </row>
    <row r="10" spans="1:5" ht="16.5" customHeight="1" thickBot="1">
      <c r="A10" s="128" t="s">
        <v>711</v>
      </c>
      <c r="B10" s="212">
        <f>766+240</f>
        <v>1006</v>
      </c>
      <c r="C10" s="213">
        <f>663+129</f>
        <v>792</v>
      </c>
      <c r="D10" s="129">
        <f t="shared" si="0"/>
        <v>-214</v>
      </c>
      <c r="E10" s="130">
        <f>D10/B10*100</f>
        <v>-21.272365805168985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5">
    <mergeCell ref="A1:E1"/>
    <mergeCell ref="A3:A4"/>
    <mergeCell ref="B3:B4"/>
    <mergeCell ref="C3:C4"/>
    <mergeCell ref="D3:E3"/>
  </mergeCells>
  <printOptions/>
  <pageMargins left="0.23" right="0.22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showZeros="0" zoomScalePageLayoutView="0" workbookViewId="0" topLeftCell="A10">
      <selection activeCell="C3" sqref="C3:C4"/>
    </sheetView>
  </sheetViews>
  <sheetFormatPr defaultColWidth="9.00390625" defaultRowHeight="14.25"/>
  <cols>
    <col min="1" max="1" width="30.625" style="31" customWidth="1"/>
    <col min="2" max="5" width="15.625" style="31" customWidth="1"/>
    <col min="6" max="253" width="9.00390625" style="31" customWidth="1"/>
  </cols>
  <sheetData>
    <row r="1" spans="1:5" ht="26.25" customHeight="1">
      <c r="A1" s="214" t="s">
        <v>785</v>
      </c>
      <c r="B1" s="214"/>
      <c r="C1" s="214"/>
      <c r="D1" s="214"/>
      <c r="E1" s="214"/>
    </row>
    <row r="2" spans="1:5" s="28" customFormat="1" ht="19.5" customHeight="1">
      <c r="A2" s="32"/>
      <c r="B2" s="32"/>
      <c r="C2" s="32"/>
      <c r="D2" s="32"/>
      <c r="E2" s="33" t="s">
        <v>1</v>
      </c>
    </row>
    <row r="3" spans="1:5" s="29" customFormat="1" ht="19.5" customHeight="1">
      <c r="A3" s="216" t="s">
        <v>2</v>
      </c>
      <c r="B3" s="217" t="s">
        <v>380</v>
      </c>
      <c r="C3" s="218" t="s">
        <v>787</v>
      </c>
      <c r="D3" s="215" t="s">
        <v>381</v>
      </c>
      <c r="E3" s="215"/>
    </row>
    <row r="4" spans="1:5" s="29" customFormat="1" ht="19.5" customHeight="1">
      <c r="A4" s="216"/>
      <c r="B4" s="217"/>
      <c r="C4" s="217"/>
      <c r="D4" s="37" t="s">
        <v>4</v>
      </c>
      <c r="E4" s="38" t="s">
        <v>5</v>
      </c>
    </row>
    <row r="5" spans="1:5" s="29" customFormat="1" ht="19.5" customHeight="1">
      <c r="A5" s="42" t="s">
        <v>382</v>
      </c>
      <c r="B5" s="39">
        <f>B6+B26</f>
        <v>38721</v>
      </c>
      <c r="C5" s="39">
        <f>C6+C26</f>
        <v>41000</v>
      </c>
      <c r="D5" s="39">
        <f>C5-B5</f>
        <v>2279</v>
      </c>
      <c r="E5" s="40">
        <f>D5/B5*100</f>
        <v>5.885695100849668</v>
      </c>
    </row>
    <row r="6" spans="1:5" s="30" customFormat="1" ht="19.5" customHeight="1">
      <c r="A6" s="43" t="s">
        <v>6</v>
      </c>
      <c r="B6" s="39">
        <f>B7+B9+B10+B13+B14+B15+B16+B17+B18+B19+B20+B21+B22+B23+B24+B25</f>
        <v>29459</v>
      </c>
      <c r="C6" s="39">
        <f>C7+C9+C10+C13+C14+C15+C16+C17+C18+C19+C20+C21+C22+C23+C24+C25</f>
        <v>31194</v>
      </c>
      <c r="D6" s="39">
        <f aca="true" t="shared" si="0" ref="D6:D37">C6-B6</f>
        <v>1735</v>
      </c>
      <c r="E6" s="40">
        <f aca="true" t="shared" si="1" ref="E6:E37">D6/B6*100</f>
        <v>5.889541396517194</v>
      </c>
    </row>
    <row r="7" spans="1:5" s="30" customFormat="1" ht="19.5" customHeight="1">
      <c r="A7" s="41" t="s">
        <v>383</v>
      </c>
      <c r="B7" s="39">
        <v>16815</v>
      </c>
      <c r="C7" s="39">
        <v>17810</v>
      </c>
      <c r="D7" s="39">
        <f t="shared" si="0"/>
        <v>995</v>
      </c>
      <c r="E7" s="40">
        <f t="shared" si="1"/>
        <v>5.91733571216176</v>
      </c>
    </row>
    <row r="8" spans="1:5" s="30" customFormat="1" ht="19.5" customHeight="1">
      <c r="A8" s="41" t="s">
        <v>384</v>
      </c>
      <c r="B8" s="39">
        <v>66</v>
      </c>
      <c r="C8" s="39">
        <v>75</v>
      </c>
      <c r="D8" s="39">
        <f t="shared" si="0"/>
        <v>9</v>
      </c>
      <c r="E8" s="40">
        <f t="shared" si="1"/>
        <v>13.636363636363635</v>
      </c>
    </row>
    <row r="9" spans="1:5" s="30" customFormat="1" ht="19.5" customHeight="1">
      <c r="A9" s="208" t="s">
        <v>770</v>
      </c>
      <c r="B9" s="39">
        <v>73</v>
      </c>
      <c r="C9" s="39"/>
      <c r="D9" s="39">
        <f>C9-B9</f>
        <v>-73</v>
      </c>
      <c r="E9" s="40">
        <f>D9/B9*100</f>
        <v>-100</v>
      </c>
    </row>
    <row r="10" spans="1:5" s="30" customFormat="1" ht="19.5" customHeight="1">
      <c r="A10" s="208" t="s">
        <v>771</v>
      </c>
      <c r="B10" s="39">
        <f>SUM(B11:B12)</f>
        <v>3324</v>
      </c>
      <c r="C10" s="39">
        <f>SUM(C11:C12)</f>
        <v>3519</v>
      </c>
      <c r="D10" s="39">
        <f t="shared" si="0"/>
        <v>195</v>
      </c>
      <c r="E10" s="40">
        <f t="shared" si="1"/>
        <v>5.866425992779783</v>
      </c>
    </row>
    <row r="11" spans="1:5" s="30" customFormat="1" ht="19.5" customHeight="1">
      <c r="A11" s="41" t="s">
        <v>7</v>
      </c>
      <c r="B11" s="39">
        <v>2619</v>
      </c>
      <c r="C11" s="39">
        <v>2775</v>
      </c>
      <c r="D11" s="39">
        <f t="shared" si="0"/>
        <v>156</v>
      </c>
      <c r="E11" s="40">
        <f t="shared" si="1"/>
        <v>5.956471935853378</v>
      </c>
    </row>
    <row r="12" spans="1:5" s="30" customFormat="1" ht="19.5" customHeight="1">
      <c r="A12" s="41" t="s">
        <v>8</v>
      </c>
      <c r="B12" s="39">
        <v>705</v>
      </c>
      <c r="C12" s="39">
        <v>744</v>
      </c>
      <c r="D12" s="39">
        <f t="shared" si="0"/>
        <v>39</v>
      </c>
      <c r="E12" s="40">
        <f t="shared" si="1"/>
        <v>5.531914893617021</v>
      </c>
    </row>
    <row r="13" spans="1:5" s="30" customFormat="1" ht="19.5" customHeight="1">
      <c r="A13" s="208" t="s">
        <v>772</v>
      </c>
      <c r="B13" s="39">
        <v>720</v>
      </c>
      <c r="C13" s="39">
        <v>762</v>
      </c>
      <c r="D13" s="39">
        <f t="shared" si="0"/>
        <v>42</v>
      </c>
      <c r="E13" s="40">
        <f t="shared" si="1"/>
        <v>5.833333333333333</v>
      </c>
    </row>
    <row r="14" spans="1:5" s="30" customFormat="1" ht="19.5" customHeight="1">
      <c r="A14" s="208" t="s">
        <v>773</v>
      </c>
      <c r="B14" s="39">
        <v>562</v>
      </c>
      <c r="C14" s="39">
        <v>596</v>
      </c>
      <c r="D14" s="39">
        <f t="shared" si="0"/>
        <v>34</v>
      </c>
      <c r="E14" s="40">
        <f t="shared" si="1"/>
        <v>6.049822064056939</v>
      </c>
    </row>
    <row r="15" spans="1:5" s="30" customFormat="1" ht="19.5" customHeight="1">
      <c r="A15" s="208" t="s">
        <v>774</v>
      </c>
      <c r="B15" s="39">
        <v>1236</v>
      </c>
      <c r="C15" s="39">
        <v>1310</v>
      </c>
      <c r="D15" s="39">
        <f t="shared" si="0"/>
        <v>74</v>
      </c>
      <c r="E15" s="40">
        <f t="shared" si="1"/>
        <v>5.9870550161812295</v>
      </c>
    </row>
    <row r="16" spans="1:5" s="30" customFormat="1" ht="19.5" customHeight="1">
      <c r="A16" s="208" t="s">
        <v>775</v>
      </c>
      <c r="B16" s="39">
        <v>1149</v>
      </c>
      <c r="C16" s="39">
        <v>1217</v>
      </c>
      <c r="D16" s="39">
        <f t="shared" si="0"/>
        <v>68</v>
      </c>
      <c r="E16" s="40">
        <f t="shared" si="1"/>
        <v>5.918189730200174</v>
      </c>
    </row>
    <row r="17" spans="1:5" s="30" customFormat="1" ht="19.5" customHeight="1">
      <c r="A17" s="208" t="s">
        <v>776</v>
      </c>
      <c r="B17" s="39">
        <v>1114</v>
      </c>
      <c r="C17" s="39">
        <v>1169</v>
      </c>
      <c r="D17" s="39">
        <f t="shared" si="0"/>
        <v>55</v>
      </c>
      <c r="E17" s="40">
        <f t="shared" si="1"/>
        <v>4.937163375224417</v>
      </c>
    </row>
    <row r="18" spans="1:5" s="30" customFormat="1" ht="19.5" customHeight="1">
      <c r="A18" s="208" t="s">
        <v>777</v>
      </c>
      <c r="B18" s="39">
        <v>1301</v>
      </c>
      <c r="C18" s="39">
        <v>1378</v>
      </c>
      <c r="D18" s="39">
        <f t="shared" si="0"/>
        <v>77</v>
      </c>
      <c r="E18" s="40">
        <f t="shared" si="1"/>
        <v>5.918524212144504</v>
      </c>
    </row>
    <row r="19" spans="1:5" s="30" customFormat="1" ht="19.5" customHeight="1">
      <c r="A19" s="208" t="s">
        <v>778</v>
      </c>
      <c r="B19" s="39">
        <v>411</v>
      </c>
      <c r="C19" s="39">
        <v>435</v>
      </c>
      <c r="D19" s="39">
        <f t="shared" si="0"/>
        <v>24</v>
      </c>
      <c r="E19" s="40">
        <f t="shared" si="1"/>
        <v>5.839416058394161</v>
      </c>
    </row>
    <row r="20" spans="1:5" s="30" customFormat="1" ht="19.5" customHeight="1">
      <c r="A20" s="208" t="s">
        <v>779</v>
      </c>
      <c r="B20" s="39">
        <v>717</v>
      </c>
      <c r="C20" s="39">
        <v>760</v>
      </c>
      <c r="D20" s="39">
        <f t="shared" si="0"/>
        <v>43</v>
      </c>
      <c r="E20" s="40">
        <f t="shared" si="1"/>
        <v>5.997210599721059</v>
      </c>
    </row>
    <row r="21" spans="1:5" s="30" customFormat="1" ht="19.5" customHeight="1">
      <c r="A21" s="208" t="s">
        <v>780</v>
      </c>
      <c r="B21" s="39">
        <v>152</v>
      </c>
      <c r="C21" s="39">
        <v>161</v>
      </c>
      <c r="D21" s="39">
        <f t="shared" si="0"/>
        <v>9</v>
      </c>
      <c r="E21" s="40">
        <f t="shared" si="1"/>
        <v>5.921052631578947</v>
      </c>
    </row>
    <row r="22" spans="1:5" s="30" customFormat="1" ht="19.5" customHeight="1">
      <c r="A22" s="208" t="s">
        <v>781</v>
      </c>
      <c r="B22" s="39">
        <v>1885</v>
      </c>
      <c r="C22" s="39">
        <v>1997</v>
      </c>
      <c r="D22" s="39">
        <f t="shared" si="0"/>
        <v>112</v>
      </c>
      <c r="E22" s="40">
        <f t="shared" si="1"/>
        <v>5.941644562334218</v>
      </c>
    </row>
    <row r="23" spans="1:5" s="30" customFormat="1" ht="19.5" customHeight="1">
      <c r="A23" s="208" t="s">
        <v>782</v>
      </c>
      <c r="B23" s="39"/>
      <c r="C23" s="39"/>
      <c r="D23" s="39">
        <f t="shared" si="0"/>
        <v>0</v>
      </c>
      <c r="E23" s="40"/>
    </row>
    <row r="24" spans="1:5" s="30" customFormat="1" ht="19.5" customHeight="1">
      <c r="A24" s="208" t="s">
        <v>783</v>
      </c>
      <c r="B24" s="39"/>
      <c r="C24" s="39">
        <v>80</v>
      </c>
      <c r="D24" s="39">
        <f t="shared" si="0"/>
        <v>80</v>
      </c>
      <c r="E24" s="40"/>
    </row>
    <row r="25" spans="1:5" s="30" customFormat="1" ht="19.5" customHeight="1">
      <c r="A25" s="208" t="s">
        <v>784</v>
      </c>
      <c r="B25" s="39"/>
      <c r="C25" s="39"/>
      <c r="D25" s="39">
        <f t="shared" si="0"/>
        <v>0</v>
      </c>
      <c r="E25" s="40"/>
    </row>
    <row r="26" spans="1:5" s="30" customFormat="1" ht="19.5" customHeight="1">
      <c r="A26" s="43" t="s">
        <v>9</v>
      </c>
      <c r="B26" s="39">
        <f>B27+B31+B32+B33+B34</f>
        <v>9262</v>
      </c>
      <c r="C26" s="39">
        <f>C27+C31+C32+C33+C34</f>
        <v>9806</v>
      </c>
      <c r="D26" s="39">
        <f t="shared" si="0"/>
        <v>544</v>
      </c>
      <c r="E26" s="40">
        <f t="shared" si="1"/>
        <v>5.873461455409199</v>
      </c>
    </row>
    <row r="27" spans="1:5" s="30" customFormat="1" ht="19.5" customHeight="1">
      <c r="A27" s="41" t="s">
        <v>10</v>
      </c>
      <c r="B27" s="39">
        <f>SUM(B28:B30)</f>
        <v>1597</v>
      </c>
      <c r="C27" s="39">
        <f>SUM(C28:C30)</f>
        <v>1670</v>
      </c>
      <c r="D27" s="39">
        <f t="shared" si="0"/>
        <v>73</v>
      </c>
      <c r="E27" s="40">
        <f t="shared" si="1"/>
        <v>4.571070757670633</v>
      </c>
    </row>
    <row r="28" spans="1:5" s="30" customFormat="1" ht="19.5" customHeight="1">
      <c r="A28" s="41" t="s">
        <v>11</v>
      </c>
      <c r="B28" s="39">
        <v>943</v>
      </c>
      <c r="C28" s="39">
        <v>1000</v>
      </c>
      <c r="D28" s="39">
        <f t="shared" si="0"/>
        <v>57</v>
      </c>
      <c r="E28" s="40">
        <f t="shared" si="1"/>
        <v>6.044538706256628</v>
      </c>
    </row>
    <row r="29" spans="1:5" s="30" customFormat="1" ht="19.5" customHeight="1">
      <c r="A29" s="208" t="s">
        <v>760</v>
      </c>
      <c r="B29" s="39">
        <v>566</v>
      </c>
      <c r="C29" s="39">
        <v>600</v>
      </c>
      <c r="D29" s="39">
        <f t="shared" si="0"/>
        <v>34</v>
      </c>
      <c r="E29" s="40">
        <f t="shared" si="1"/>
        <v>6.007067137809187</v>
      </c>
    </row>
    <row r="30" spans="1:5" s="30" customFormat="1" ht="19.5" customHeight="1">
      <c r="A30" s="41" t="s">
        <v>385</v>
      </c>
      <c r="B30" s="39">
        <v>88</v>
      </c>
      <c r="C30" s="39">
        <v>70</v>
      </c>
      <c r="D30" s="39">
        <f t="shared" si="0"/>
        <v>-18</v>
      </c>
      <c r="E30" s="40">
        <f t="shared" si="1"/>
        <v>-20.454545454545457</v>
      </c>
    </row>
    <row r="31" spans="1:5" s="30" customFormat="1" ht="19.5" customHeight="1">
      <c r="A31" s="41" t="s">
        <v>12</v>
      </c>
      <c r="B31" s="39">
        <v>4442</v>
      </c>
      <c r="C31" s="39">
        <v>2300</v>
      </c>
      <c r="D31" s="39">
        <f t="shared" si="0"/>
        <v>-2142</v>
      </c>
      <c r="E31" s="40">
        <f t="shared" si="1"/>
        <v>-48.22152183701036</v>
      </c>
    </row>
    <row r="32" spans="1:5" s="30" customFormat="1" ht="19.5" customHeight="1">
      <c r="A32" s="41" t="s">
        <v>13</v>
      </c>
      <c r="B32" s="39">
        <v>1546</v>
      </c>
      <c r="C32" s="39">
        <v>2559</v>
      </c>
      <c r="D32" s="39">
        <f t="shared" si="0"/>
        <v>1013</v>
      </c>
      <c r="E32" s="40">
        <f t="shared" si="1"/>
        <v>65.52393272962483</v>
      </c>
    </row>
    <row r="33" spans="1:5" s="30" customFormat="1" ht="19.5" customHeight="1">
      <c r="A33" s="41" t="s">
        <v>386</v>
      </c>
      <c r="B33" s="39">
        <v>1677</v>
      </c>
      <c r="C33" s="39">
        <v>1777</v>
      </c>
      <c r="D33" s="39">
        <f t="shared" si="0"/>
        <v>100</v>
      </c>
      <c r="E33" s="40">
        <f t="shared" si="1"/>
        <v>5.963029218843173</v>
      </c>
    </row>
    <row r="34" spans="1:5" s="30" customFormat="1" ht="19.5" customHeight="1">
      <c r="A34" s="41" t="s">
        <v>387</v>
      </c>
      <c r="B34" s="39"/>
      <c r="C34" s="39">
        <v>1500</v>
      </c>
      <c r="D34" s="39">
        <f t="shared" si="0"/>
        <v>1500</v>
      </c>
      <c r="E34" s="40"/>
    </row>
    <row r="35" spans="1:5" s="30" customFormat="1" ht="19.5" customHeight="1">
      <c r="A35" s="43" t="s">
        <v>7</v>
      </c>
      <c r="B35" s="39">
        <f>B7+B11-66</f>
        <v>19368</v>
      </c>
      <c r="C35" s="39">
        <f>C7+C11-75</f>
        <v>20510</v>
      </c>
      <c r="D35" s="39">
        <f t="shared" si="0"/>
        <v>1142</v>
      </c>
      <c r="E35" s="40">
        <f t="shared" si="1"/>
        <v>5.896323833126807</v>
      </c>
    </row>
    <row r="36" spans="1:5" s="30" customFormat="1" ht="19.5" customHeight="1">
      <c r="A36" s="43" t="s">
        <v>8</v>
      </c>
      <c r="B36" s="39">
        <f>B6-B35+B28</f>
        <v>11034</v>
      </c>
      <c r="C36" s="39">
        <f>C6-C35+C28</f>
        <v>11684</v>
      </c>
      <c r="D36" s="39">
        <f t="shared" si="0"/>
        <v>650</v>
      </c>
      <c r="E36" s="40">
        <f t="shared" si="1"/>
        <v>5.890882726119267</v>
      </c>
    </row>
    <row r="37" spans="1:5" s="30" customFormat="1" ht="19.5" customHeight="1">
      <c r="A37" s="43" t="s">
        <v>14</v>
      </c>
      <c r="B37" s="39">
        <f>B26-B28</f>
        <v>8319</v>
      </c>
      <c r="C37" s="39">
        <f>C26-C28</f>
        <v>8806</v>
      </c>
      <c r="D37" s="39">
        <f t="shared" si="0"/>
        <v>487</v>
      </c>
      <c r="E37" s="40">
        <f t="shared" si="1"/>
        <v>5.854068998677726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5511811023622047" right="0.5511811023622047" top="0.7874015748031497" bottom="0.787401574803149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"/>
    </sheetView>
  </sheetViews>
  <sheetFormatPr defaultColWidth="9.00390625" defaultRowHeight="21.75" customHeight="1"/>
  <cols>
    <col min="1" max="1" width="34.375" style="21" customWidth="1"/>
    <col min="2" max="2" width="17.875" style="27" customWidth="1"/>
    <col min="3" max="3" width="19.25390625" style="27" customWidth="1"/>
    <col min="4" max="4" width="17.875" style="22" customWidth="1"/>
    <col min="5" max="5" width="17.875" style="23" customWidth="1"/>
    <col min="6" max="250" width="9.00390625" style="20" customWidth="1"/>
    <col min="251" max="16384" width="9.00390625" style="24" customWidth="1"/>
  </cols>
  <sheetData>
    <row r="1" spans="1:5" s="26" customFormat="1" ht="24" customHeight="1">
      <c r="A1" s="219" t="s">
        <v>408</v>
      </c>
      <c r="B1" s="220"/>
      <c r="C1" s="220"/>
      <c r="D1" s="220"/>
      <c r="E1" s="220"/>
    </row>
    <row r="2" spans="1:5" s="17" customFormat="1" ht="18.75" customHeight="1" thickBot="1">
      <c r="A2" s="74"/>
      <c r="B2" s="75"/>
      <c r="C2" s="76"/>
      <c r="D2" s="77"/>
      <c r="E2" s="83" t="s">
        <v>15</v>
      </c>
    </row>
    <row r="3" spans="1:5" s="17" customFormat="1" ht="19.5" customHeight="1">
      <c r="A3" s="223" t="s">
        <v>16</v>
      </c>
      <c r="B3" s="225" t="s">
        <v>3</v>
      </c>
      <c r="C3" s="225" t="s">
        <v>17</v>
      </c>
      <c r="D3" s="221" t="s">
        <v>18</v>
      </c>
      <c r="E3" s="222"/>
    </row>
    <row r="4" spans="1:5" s="17" customFormat="1" ht="18" customHeight="1">
      <c r="A4" s="224"/>
      <c r="B4" s="226"/>
      <c r="C4" s="226"/>
      <c r="D4" s="37" t="s">
        <v>4</v>
      </c>
      <c r="E4" s="84" t="s">
        <v>5</v>
      </c>
    </row>
    <row r="5" spans="1:5" s="18" customFormat="1" ht="18" customHeight="1">
      <c r="A5" s="85" t="s">
        <v>406</v>
      </c>
      <c r="B5" s="78">
        <f>SUM(B6:B26)</f>
        <v>152400</v>
      </c>
      <c r="C5" s="78">
        <f>SUM(C6:C26)</f>
        <v>201519</v>
      </c>
      <c r="D5" s="79">
        <f>B5-C5</f>
        <v>-49119</v>
      </c>
      <c r="E5" s="86">
        <f aca="true" t="shared" si="0" ref="E5:E26">IF(C5=0,"",ROUND(D5/C5*100,1))</f>
        <v>-24.4</v>
      </c>
    </row>
    <row r="6" spans="1:5" s="19" customFormat="1" ht="18" customHeight="1">
      <c r="A6" s="87" t="s">
        <v>407</v>
      </c>
      <c r="B6" s="79">
        <v>7400</v>
      </c>
      <c r="C6" s="80">
        <v>9660</v>
      </c>
      <c r="D6" s="79">
        <f aca="true" t="shared" si="1" ref="D6:D26">B6-C6</f>
        <v>-2260</v>
      </c>
      <c r="E6" s="86">
        <f t="shared" si="0"/>
        <v>-23.4</v>
      </c>
    </row>
    <row r="7" spans="1:5" s="19" customFormat="1" ht="18" customHeight="1">
      <c r="A7" s="87" t="s">
        <v>19</v>
      </c>
      <c r="B7" s="79">
        <v>20</v>
      </c>
      <c r="C7" s="80">
        <v>85</v>
      </c>
      <c r="D7" s="79">
        <f t="shared" si="1"/>
        <v>-65</v>
      </c>
      <c r="E7" s="86">
        <f t="shared" si="0"/>
        <v>-76.5</v>
      </c>
    </row>
    <row r="8" spans="1:5" s="19" customFormat="1" ht="18" customHeight="1">
      <c r="A8" s="87" t="s">
        <v>20</v>
      </c>
      <c r="B8" s="79">
        <v>4947</v>
      </c>
      <c r="C8" s="81">
        <v>8145</v>
      </c>
      <c r="D8" s="79">
        <f t="shared" si="1"/>
        <v>-3198</v>
      </c>
      <c r="E8" s="86">
        <f t="shared" si="0"/>
        <v>-39.3</v>
      </c>
    </row>
    <row r="9" spans="1:5" s="19" customFormat="1" ht="18" customHeight="1">
      <c r="A9" s="88" t="s">
        <v>21</v>
      </c>
      <c r="B9" s="79">
        <v>21991</v>
      </c>
      <c r="C9" s="81">
        <v>31303</v>
      </c>
      <c r="D9" s="79">
        <f t="shared" si="1"/>
        <v>-9312</v>
      </c>
      <c r="E9" s="89">
        <f t="shared" si="0"/>
        <v>-29.7</v>
      </c>
    </row>
    <row r="10" spans="1:5" s="19" customFormat="1" ht="18" customHeight="1">
      <c r="A10" s="87" t="s">
        <v>22</v>
      </c>
      <c r="B10" s="79">
        <v>189</v>
      </c>
      <c r="C10" s="81">
        <v>242</v>
      </c>
      <c r="D10" s="79">
        <f t="shared" si="1"/>
        <v>-53</v>
      </c>
      <c r="E10" s="86">
        <f t="shared" si="0"/>
        <v>-21.9</v>
      </c>
    </row>
    <row r="11" spans="1:5" s="19" customFormat="1" ht="18" customHeight="1">
      <c r="A11" s="87" t="s">
        <v>23</v>
      </c>
      <c r="B11" s="79">
        <v>2239</v>
      </c>
      <c r="C11" s="81">
        <v>3279</v>
      </c>
      <c r="D11" s="79">
        <f t="shared" si="1"/>
        <v>-1040</v>
      </c>
      <c r="E11" s="86">
        <f t="shared" si="0"/>
        <v>-31.7</v>
      </c>
    </row>
    <row r="12" spans="1:5" s="19" customFormat="1" ht="18" customHeight="1">
      <c r="A12" s="209" t="s">
        <v>761</v>
      </c>
      <c r="B12" s="79">
        <v>36873</v>
      </c>
      <c r="C12" s="81">
        <f>37627+800</f>
        <v>38427</v>
      </c>
      <c r="D12" s="79">
        <f t="shared" si="1"/>
        <v>-1554</v>
      </c>
      <c r="E12" s="86">
        <f t="shared" si="0"/>
        <v>-4</v>
      </c>
    </row>
    <row r="13" spans="1:5" s="19" customFormat="1" ht="18" customHeight="1">
      <c r="A13" s="209" t="s">
        <v>762</v>
      </c>
      <c r="B13" s="79">
        <v>15351</v>
      </c>
      <c r="C13" s="81">
        <v>21116</v>
      </c>
      <c r="D13" s="79">
        <f t="shared" si="1"/>
        <v>-5765</v>
      </c>
      <c r="E13" s="86">
        <f t="shared" si="0"/>
        <v>-27.3</v>
      </c>
    </row>
    <row r="14" spans="1:5" s="19" customFormat="1" ht="18" customHeight="1">
      <c r="A14" s="209" t="s">
        <v>763</v>
      </c>
      <c r="B14" s="79">
        <v>2111</v>
      </c>
      <c r="C14" s="81">
        <v>5771</v>
      </c>
      <c r="D14" s="79">
        <f t="shared" si="1"/>
        <v>-3660</v>
      </c>
      <c r="E14" s="86">
        <f t="shared" si="0"/>
        <v>-63.4</v>
      </c>
    </row>
    <row r="15" spans="1:5" s="19" customFormat="1" ht="18" customHeight="1">
      <c r="A15" s="87" t="s">
        <v>24</v>
      </c>
      <c r="B15" s="79">
        <v>2282</v>
      </c>
      <c r="C15" s="80">
        <v>7146</v>
      </c>
      <c r="D15" s="79">
        <f t="shared" si="1"/>
        <v>-4864</v>
      </c>
      <c r="E15" s="86">
        <f t="shared" si="0"/>
        <v>-68.1</v>
      </c>
    </row>
    <row r="16" spans="1:5" s="19" customFormat="1" ht="18" customHeight="1">
      <c r="A16" s="87" t="s">
        <v>25</v>
      </c>
      <c r="B16" s="79">
        <v>36189</v>
      </c>
      <c r="C16" s="81">
        <v>51896</v>
      </c>
      <c r="D16" s="79">
        <f t="shared" si="1"/>
        <v>-15707</v>
      </c>
      <c r="E16" s="86">
        <f t="shared" si="0"/>
        <v>-30.3</v>
      </c>
    </row>
    <row r="17" spans="1:5" s="19" customFormat="1" ht="18" customHeight="1">
      <c r="A17" s="209" t="s">
        <v>764</v>
      </c>
      <c r="B17" s="79">
        <v>5447</v>
      </c>
      <c r="C17" s="81">
        <v>8980</v>
      </c>
      <c r="D17" s="79">
        <f t="shared" si="1"/>
        <v>-3533</v>
      </c>
      <c r="E17" s="86">
        <f t="shared" si="0"/>
        <v>-39.3</v>
      </c>
    </row>
    <row r="18" spans="1:5" s="19" customFormat="1" ht="18" customHeight="1">
      <c r="A18" s="87" t="s">
        <v>26</v>
      </c>
      <c r="B18" s="79">
        <v>1116</v>
      </c>
      <c r="C18" s="80">
        <v>917</v>
      </c>
      <c r="D18" s="79">
        <f t="shared" si="1"/>
        <v>199</v>
      </c>
      <c r="E18" s="86">
        <f t="shared" si="0"/>
        <v>21.7</v>
      </c>
    </row>
    <row r="19" spans="1:5" s="19" customFormat="1" ht="18" customHeight="1">
      <c r="A19" s="87" t="s">
        <v>27</v>
      </c>
      <c r="B19" s="79">
        <v>206</v>
      </c>
      <c r="C19" s="80">
        <v>650</v>
      </c>
      <c r="D19" s="79">
        <f t="shared" si="1"/>
        <v>-444</v>
      </c>
      <c r="E19" s="86">
        <f t="shared" si="0"/>
        <v>-68.3</v>
      </c>
    </row>
    <row r="20" spans="1:5" s="19" customFormat="1" ht="18" customHeight="1">
      <c r="A20" s="87" t="s">
        <v>28</v>
      </c>
      <c r="B20" s="79">
        <v>923</v>
      </c>
      <c r="C20" s="81">
        <v>2995</v>
      </c>
      <c r="D20" s="79">
        <f t="shared" si="1"/>
        <v>-2072</v>
      </c>
      <c r="E20" s="86">
        <f t="shared" si="0"/>
        <v>-69.2</v>
      </c>
    </row>
    <row r="21" spans="1:5" s="19" customFormat="1" ht="18" customHeight="1">
      <c r="A21" s="209" t="s">
        <v>765</v>
      </c>
      <c r="B21" s="79">
        <v>3857</v>
      </c>
      <c r="C21" s="81">
        <v>9181</v>
      </c>
      <c r="D21" s="79">
        <f t="shared" si="1"/>
        <v>-5324</v>
      </c>
      <c r="E21" s="86">
        <f t="shared" si="0"/>
        <v>-58</v>
      </c>
    </row>
    <row r="22" spans="1:5" s="19" customFormat="1" ht="18" customHeight="1">
      <c r="A22" s="209" t="s">
        <v>766</v>
      </c>
      <c r="B22" s="79">
        <v>201</v>
      </c>
      <c r="C22" s="80">
        <v>232</v>
      </c>
      <c r="D22" s="79">
        <f t="shared" si="1"/>
        <v>-31</v>
      </c>
      <c r="E22" s="86">
        <f t="shared" si="0"/>
        <v>-13.4</v>
      </c>
    </row>
    <row r="23" spans="1:5" s="19" customFormat="1" ht="18" customHeight="1">
      <c r="A23" s="87" t="s">
        <v>29</v>
      </c>
      <c r="B23" s="79">
        <v>800</v>
      </c>
      <c r="C23" s="80"/>
      <c r="D23" s="79">
        <f t="shared" si="1"/>
        <v>800</v>
      </c>
      <c r="E23" s="86">
        <f t="shared" si="0"/>
      </c>
    </row>
    <row r="24" spans="1:5" s="19" customFormat="1" ht="18" customHeight="1">
      <c r="A24" s="88" t="s">
        <v>30</v>
      </c>
      <c r="B24" s="79">
        <v>8832</v>
      </c>
      <c r="C24" s="82">
        <v>81</v>
      </c>
      <c r="D24" s="79">
        <f t="shared" si="1"/>
        <v>8751</v>
      </c>
      <c r="E24" s="86">
        <f t="shared" si="0"/>
        <v>10803.7</v>
      </c>
    </row>
    <row r="25" spans="1:5" s="19" customFormat="1" ht="18" customHeight="1">
      <c r="A25" s="90" t="s">
        <v>31</v>
      </c>
      <c r="B25" s="79">
        <v>1413</v>
      </c>
      <c r="C25" s="80">
        <v>1413</v>
      </c>
      <c r="D25" s="79">
        <f t="shared" si="1"/>
        <v>0</v>
      </c>
      <c r="E25" s="86">
        <f t="shared" si="0"/>
        <v>0</v>
      </c>
    </row>
    <row r="26" spans="1:5" ht="18" customHeight="1" thickBot="1">
      <c r="A26" s="91" t="s">
        <v>32</v>
      </c>
      <c r="B26" s="92">
        <v>13</v>
      </c>
      <c r="C26" s="93"/>
      <c r="D26" s="92">
        <f t="shared" si="1"/>
        <v>13</v>
      </c>
      <c r="E26" s="94">
        <f t="shared" si="0"/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V449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5" sqref="R15"/>
    </sheetView>
  </sheetViews>
  <sheetFormatPr defaultColWidth="6.875" defaultRowHeight="12.75" customHeight="1"/>
  <cols>
    <col min="1" max="1" width="40.875" style="202" customWidth="1"/>
    <col min="2" max="2" width="15.125" style="203" customWidth="1"/>
    <col min="3" max="3" width="17.625" style="158" customWidth="1"/>
    <col min="4" max="4" width="13.375" style="158" customWidth="1"/>
    <col min="5" max="5" width="15.50390625" style="158" customWidth="1"/>
    <col min="6" max="6" width="15.875" style="158" customWidth="1"/>
    <col min="7" max="8" width="5.00390625" style="158" customWidth="1"/>
    <col min="9" max="9" width="12.375" style="158" customWidth="1"/>
    <col min="10" max="148" width="5.00390625" style="158" customWidth="1"/>
    <col min="149" max="204" width="6.875" style="158" customWidth="1"/>
    <col min="205" max="16384" width="6.875" style="158" customWidth="1"/>
  </cols>
  <sheetData>
    <row r="1" spans="1:148" ht="32.25" customHeight="1">
      <c r="A1" s="234" t="s">
        <v>647</v>
      </c>
      <c r="B1" s="234"/>
      <c r="C1" s="234"/>
      <c r="D1" s="234"/>
      <c r="E1" s="234"/>
      <c r="F1" s="234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</row>
    <row r="2" spans="1:148" ht="17.25" customHeight="1" thickBot="1">
      <c r="A2" s="161"/>
      <c r="B2" s="158"/>
      <c r="C2" s="162"/>
      <c r="D2" s="162"/>
      <c r="E2" s="162"/>
      <c r="F2" s="163" t="s">
        <v>1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</row>
    <row r="3" spans="1:204" s="159" customFormat="1" ht="25.5" customHeight="1">
      <c r="A3" s="228" t="s">
        <v>389</v>
      </c>
      <c r="B3" s="230" t="s">
        <v>643</v>
      </c>
      <c r="C3" s="232" t="s">
        <v>644</v>
      </c>
      <c r="D3" s="227" t="s">
        <v>645</v>
      </c>
      <c r="E3" s="227"/>
      <c r="F3" s="235" t="s">
        <v>646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GV3" s="165"/>
    </row>
    <row r="4" spans="1:204" s="159" customFormat="1" ht="25.5" customHeight="1">
      <c r="A4" s="229"/>
      <c r="B4" s="231"/>
      <c r="C4" s="233"/>
      <c r="D4" s="166" t="s">
        <v>409</v>
      </c>
      <c r="E4" s="166" t="s">
        <v>410</v>
      </c>
      <c r="F4" s="236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GV4" s="165"/>
    </row>
    <row r="5" spans="1:204" ht="20.25" customHeight="1">
      <c r="A5" s="167" t="s">
        <v>411</v>
      </c>
      <c r="B5" s="168">
        <f>B6+B99+B103+B130+B150+B159+B179+B246+B285+B302+B316+B380+B388+B401+B410+B422+B430+B435+B437+B441+B444+B447</f>
        <v>105772</v>
      </c>
      <c r="C5" s="168">
        <f>C6+C99+C103+C130+C150+C159+C179+C246+C285+C302+C316+C380+C388+C401+C410+C422+C430+C435+C437+C441+C444+C447</f>
        <v>103667</v>
      </c>
      <c r="D5" s="168">
        <f>C5-B5</f>
        <v>-2105</v>
      </c>
      <c r="E5" s="169">
        <f>D5/B5*100</f>
        <v>-1.990129712967515</v>
      </c>
      <c r="F5" s="170">
        <f>F6+F99+F103+F130+F150+F159+F179+F246+F285+F302+F316+F380+F388+F401+F410+F422+F430+F435+F437+F441+F444+F447</f>
        <v>152400</v>
      </c>
      <c r="G5" s="160"/>
      <c r="H5" s="160"/>
      <c r="I5" s="171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GV5" s="172"/>
    </row>
    <row r="6" spans="1:204" ht="20.25" customHeight="1">
      <c r="A6" s="173" t="s">
        <v>412</v>
      </c>
      <c r="B6" s="168">
        <f>B7+B13+B18+B23+B30+B34+B40+B43+B48+B54+B57+B62+B69+B72+B75+B78+B81+B85+B88+B92+B96</f>
        <v>9269</v>
      </c>
      <c r="C6" s="168">
        <f>C7+C13+C18+C23+C30+C34+C40+C43+C48+C54+C57+C62+C69+C72+C75+C78+C81+C85+C88+C92+C96</f>
        <v>7383</v>
      </c>
      <c r="D6" s="168">
        <f aca="true" t="shared" si="0" ref="D6:D76">C6-B6</f>
        <v>-1886</v>
      </c>
      <c r="E6" s="169">
        <f aca="true" t="shared" si="1" ref="E6:E76">D6/B6*100</f>
        <v>-20.34739454094293</v>
      </c>
      <c r="F6" s="170">
        <f>F7+F13+F18+F23+F30+F34+F40+F43+F48+F54+F57+F62+F69+F72+F75+F78+F81+F85+F88+F92+F96</f>
        <v>7400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GV6" s="172"/>
    </row>
    <row r="7" spans="1:204" ht="20.25" customHeight="1">
      <c r="A7" s="173" t="s">
        <v>35</v>
      </c>
      <c r="B7" s="174">
        <f>SUM(B8:B12)</f>
        <v>311</v>
      </c>
      <c r="C7" s="174">
        <f>SUM(C8:C12)</f>
        <v>188</v>
      </c>
      <c r="D7" s="168">
        <f t="shared" si="0"/>
        <v>-123</v>
      </c>
      <c r="E7" s="169">
        <f t="shared" si="1"/>
        <v>-39.549839228295816</v>
      </c>
      <c r="F7" s="175">
        <f>SUM(F8:F12)</f>
        <v>188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GV7" s="172"/>
    </row>
    <row r="8" spans="1:204" ht="20.25" customHeight="1">
      <c r="A8" s="176" t="s">
        <v>413</v>
      </c>
      <c r="B8" s="177">
        <v>177</v>
      </c>
      <c r="C8" s="178">
        <v>144</v>
      </c>
      <c r="D8" s="179">
        <f t="shared" si="0"/>
        <v>-33</v>
      </c>
      <c r="E8" s="180">
        <f t="shared" si="1"/>
        <v>-18.64406779661017</v>
      </c>
      <c r="F8" s="181">
        <v>144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GV8" s="172"/>
    </row>
    <row r="9" spans="1:204" ht="20.25" customHeight="1">
      <c r="A9" s="176" t="s">
        <v>36</v>
      </c>
      <c r="B9" s="177">
        <v>90</v>
      </c>
      <c r="C9" s="178"/>
      <c r="D9" s="179">
        <f t="shared" si="0"/>
        <v>-90</v>
      </c>
      <c r="E9" s="180">
        <f t="shared" si="1"/>
        <v>-100</v>
      </c>
      <c r="F9" s="181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GV9" s="172"/>
    </row>
    <row r="10" spans="1:204" ht="20.25" customHeight="1">
      <c r="A10" s="176" t="s">
        <v>37</v>
      </c>
      <c r="B10" s="177">
        <v>20</v>
      </c>
      <c r="C10" s="178">
        <v>20</v>
      </c>
      <c r="D10" s="179">
        <f t="shared" si="0"/>
        <v>0</v>
      </c>
      <c r="E10" s="180">
        <f t="shared" si="1"/>
        <v>0</v>
      </c>
      <c r="F10" s="181">
        <v>20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GV10" s="172"/>
    </row>
    <row r="11" spans="1:204" ht="20.25" customHeight="1">
      <c r="A11" s="176" t="s">
        <v>38</v>
      </c>
      <c r="B11" s="177">
        <v>5</v>
      </c>
      <c r="C11" s="178">
        <v>5</v>
      </c>
      <c r="D11" s="179">
        <f t="shared" si="0"/>
        <v>0</v>
      </c>
      <c r="E11" s="180">
        <f t="shared" si="1"/>
        <v>0</v>
      </c>
      <c r="F11" s="181">
        <v>5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GV11" s="172"/>
    </row>
    <row r="12" spans="1:204" ht="20.25" customHeight="1">
      <c r="A12" s="176" t="s">
        <v>39</v>
      </c>
      <c r="B12" s="177">
        <v>19</v>
      </c>
      <c r="C12" s="178">
        <v>19</v>
      </c>
      <c r="D12" s="179">
        <f t="shared" si="0"/>
        <v>0</v>
      </c>
      <c r="E12" s="180">
        <f t="shared" si="1"/>
        <v>0</v>
      </c>
      <c r="F12" s="181">
        <v>19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GV12" s="172"/>
    </row>
    <row r="13" spans="1:204" ht="20.25" customHeight="1">
      <c r="A13" s="173" t="s">
        <v>41</v>
      </c>
      <c r="B13" s="174">
        <f>SUM(B14:B17)</f>
        <v>191</v>
      </c>
      <c r="C13" s="174">
        <f>SUM(C14:C17)</f>
        <v>146</v>
      </c>
      <c r="D13" s="168">
        <f t="shared" si="0"/>
        <v>-45</v>
      </c>
      <c r="E13" s="169">
        <f t="shared" si="1"/>
        <v>-23.56020942408377</v>
      </c>
      <c r="F13" s="175">
        <f>SUM(F14:F17)</f>
        <v>146</v>
      </c>
      <c r="GV13" s="172"/>
    </row>
    <row r="14" spans="1:204" ht="23.25" customHeight="1">
      <c r="A14" s="176" t="s">
        <v>414</v>
      </c>
      <c r="B14" s="177">
        <f>110+32</f>
        <v>142</v>
      </c>
      <c r="C14" s="178">
        <v>101</v>
      </c>
      <c r="D14" s="179">
        <f t="shared" si="0"/>
        <v>-41</v>
      </c>
      <c r="E14" s="180">
        <f t="shared" si="1"/>
        <v>-28.87323943661972</v>
      </c>
      <c r="F14" s="181">
        <v>101</v>
      </c>
      <c r="GV14" s="172"/>
    </row>
    <row r="15" spans="1:204" ht="20.25" customHeight="1">
      <c r="A15" s="176" t="s">
        <v>42</v>
      </c>
      <c r="B15" s="177">
        <v>20</v>
      </c>
      <c r="C15" s="178">
        <v>20</v>
      </c>
      <c r="D15" s="179">
        <f t="shared" si="0"/>
        <v>0</v>
      </c>
      <c r="E15" s="180">
        <f t="shared" si="1"/>
        <v>0</v>
      </c>
      <c r="F15" s="181">
        <v>20</v>
      </c>
      <c r="GV15" s="172"/>
    </row>
    <row r="16" spans="1:204" ht="20.25" customHeight="1">
      <c r="A16" s="176" t="s">
        <v>43</v>
      </c>
      <c r="B16" s="177">
        <v>20</v>
      </c>
      <c r="C16" s="178">
        <v>20</v>
      </c>
      <c r="D16" s="179">
        <f t="shared" si="0"/>
        <v>0</v>
      </c>
      <c r="E16" s="180">
        <f t="shared" si="1"/>
        <v>0</v>
      </c>
      <c r="F16" s="181">
        <v>20</v>
      </c>
      <c r="GV16" s="172"/>
    </row>
    <row r="17" spans="1:204" ht="20.25" customHeight="1">
      <c r="A17" s="176" t="s">
        <v>65</v>
      </c>
      <c r="B17" s="177">
        <v>9</v>
      </c>
      <c r="C17" s="178">
        <v>5</v>
      </c>
      <c r="D17" s="179">
        <f t="shared" si="0"/>
        <v>-4</v>
      </c>
      <c r="E17" s="180">
        <f t="shared" si="1"/>
        <v>-44.44444444444444</v>
      </c>
      <c r="F17" s="181">
        <v>5</v>
      </c>
      <c r="GV17" s="172"/>
    </row>
    <row r="18" spans="1:204" ht="20.25" customHeight="1">
      <c r="A18" s="173" t="s">
        <v>44</v>
      </c>
      <c r="B18" s="168">
        <f>SUM(B19:B22)</f>
        <v>2314</v>
      </c>
      <c r="C18" s="168">
        <f>SUM(C19:C22)</f>
        <v>2060</v>
      </c>
      <c r="D18" s="168">
        <f t="shared" si="0"/>
        <v>-254</v>
      </c>
      <c r="E18" s="169">
        <f t="shared" si="1"/>
        <v>-10.97666378565255</v>
      </c>
      <c r="F18" s="170">
        <f>SUM(F19:F22)</f>
        <v>2060</v>
      </c>
      <c r="GV18" s="172"/>
    </row>
    <row r="19" spans="1:204" ht="20.25" customHeight="1">
      <c r="A19" s="176" t="s">
        <v>415</v>
      </c>
      <c r="B19" s="179">
        <v>1906</v>
      </c>
      <c r="C19" s="178">
        <v>1832</v>
      </c>
      <c r="D19" s="179">
        <f t="shared" si="0"/>
        <v>-74</v>
      </c>
      <c r="E19" s="180">
        <f t="shared" si="1"/>
        <v>-3.882476390346275</v>
      </c>
      <c r="F19" s="181">
        <v>1832</v>
      </c>
      <c r="GV19" s="172"/>
    </row>
    <row r="20" spans="1:204" ht="20.25" customHeight="1">
      <c r="A20" s="176" t="s">
        <v>416</v>
      </c>
      <c r="B20" s="179">
        <f>182+88</f>
        <v>270</v>
      </c>
      <c r="C20" s="178">
        <v>193</v>
      </c>
      <c r="D20" s="179">
        <f t="shared" si="0"/>
        <v>-77</v>
      </c>
      <c r="E20" s="180">
        <f t="shared" si="1"/>
        <v>-28.51851851851852</v>
      </c>
      <c r="F20" s="181">
        <v>193</v>
      </c>
      <c r="GV20" s="172"/>
    </row>
    <row r="21" spans="1:204" ht="20.25" customHeight="1">
      <c r="A21" s="176" t="s">
        <v>417</v>
      </c>
      <c r="B21" s="177">
        <v>18</v>
      </c>
      <c r="C21" s="178"/>
      <c r="D21" s="179">
        <f t="shared" si="0"/>
        <v>-18</v>
      </c>
      <c r="E21" s="180">
        <f t="shared" si="1"/>
        <v>-100</v>
      </c>
      <c r="F21" s="181"/>
      <c r="GV21" s="172"/>
    </row>
    <row r="22" spans="1:204" ht="20.25" customHeight="1">
      <c r="A22" s="176" t="s">
        <v>418</v>
      </c>
      <c r="B22" s="177">
        <v>120</v>
      </c>
      <c r="C22" s="178">
        <v>35</v>
      </c>
      <c r="D22" s="179">
        <f t="shared" si="0"/>
        <v>-85</v>
      </c>
      <c r="E22" s="180">
        <f t="shared" si="1"/>
        <v>-70.83333333333334</v>
      </c>
      <c r="F22" s="181">
        <v>35</v>
      </c>
      <c r="GV22" s="172"/>
    </row>
    <row r="23" spans="1:204" ht="20.25" customHeight="1">
      <c r="A23" s="173" t="s">
        <v>45</v>
      </c>
      <c r="B23" s="174">
        <f>SUM(B24:B29)</f>
        <v>223</v>
      </c>
      <c r="C23" s="174">
        <f>SUM(C24:C29)</f>
        <v>160</v>
      </c>
      <c r="D23" s="168">
        <f t="shared" si="0"/>
        <v>-63</v>
      </c>
      <c r="E23" s="169">
        <f t="shared" si="1"/>
        <v>-28.251121076233183</v>
      </c>
      <c r="F23" s="175">
        <f>SUM(F24:F29)</f>
        <v>160</v>
      </c>
      <c r="GV23" s="172"/>
    </row>
    <row r="24" spans="1:204" ht="20.25" customHeight="1">
      <c r="A24" s="176" t="s">
        <v>419</v>
      </c>
      <c r="B24" s="177">
        <v>147</v>
      </c>
      <c r="C24" s="178">
        <v>128</v>
      </c>
      <c r="D24" s="179">
        <f t="shared" si="0"/>
        <v>-19</v>
      </c>
      <c r="E24" s="180">
        <f t="shared" si="1"/>
        <v>-12.925170068027212</v>
      </c>
      <c r="F24" s="181">
        <v>128</v>
      </c>
      <c r="GV24" s="172"/>
    </row>
    <row r="25" spans="1:204" ht="20.25" customHeight="1">
      <c r="A25" s="176" t="s">
        <v>420</v>
      </c>
      <c r="B25" s="177"/>
      <c r="C25" s="178"/>
      <c r="D25" s="179">
        <f t="shared" si="0"/>
        <v>0</v>
      </c>
      <c r="E25" s="180"/>
      <c r="F25" s="181"/>
      <c r="GV25" s="172"/>
    </row>
    <row r="26" spans="1:204" ht="20.25" customHeight="1">
      <c r="A26" s="176" t="s">
        <v>421</v>
      </c>
      <c r="B26" s="177">
        <v>20</v>
      </c>
      <c r="C26" s="178">
        <v>8</v>
      </c>
      <c r="D26" s="179">
        <f t="shared" si="0"/>
        <v>-12</v>
      </c>
      <c r="E26" s="180">
        <f t="shared" si="1"/>
        <v>-60</v>
      </c>
      <c r="F26" s="181">
        <v>8</v>
      </c>
      <c r="GV26" s="172"/>
    </row>
    <row r="27" spans="1:204" ht="20.25" customHeight="1">
      <c r="A27" s="176" t="s">
        <v>422</v>
      </c>
      <c r="B27" s="177">
        <v>10</v>
      </c>
      <c r="C27" s="178"/>
      <c r="D27" s="179">
        <f t="shared" si="0"/>
        <v>-10</v>
      </c>
      <c r="E27" s="180">
        <f t="shared" si="1"/>
        <v>-100</v>
      </c>
      <c r="F27" s="181"/>
      <c r="GV27" s="172"/>
    </row>
    <row r="28" spans="1:204" ht="20.25" customHeight="1">
      <c r="A28" s="176" t="s">
        <v>423</v>
      </c>
      <c r="B28" s="177">
        <v>16</v>
      </c>
      <c r="C28" s="178">
        <v>15</v>
      </c>
      <c r="D28" s="179">
        <f t="shared" si="0"/>
        <v>-1</v>
      </c>
      <c r="E28" s="180">
        <f t="shared" si="1"/>
        <v>-6.25</v>
      </c>
      <c r="F28" s="181">
        <v>15</v>
      </c>
      <c r="GV28" s="172"/>
    </row>
    <row r="29" spans="1:204" ht="20.25" customHeight="1">
      <c r="A29" s="176" t="s">
        <v>46</v>
      </c>
      <c r="B29" s="177">
        <v>30</v>
      </c>
      <c r="C29" s="178">
        <v>9</v>
      </c>
      <c r="D29" s="179">
        <f t="shared" si="0"/>
        <v>-21</v>
      </c>
      <c r="E29" s="180">
        <f t="shared" si="1"/>
        <v>-70</v>
      </c>
      <c r="F29" s="181">
        <v>9</v>
      </c>
      <c r="GV29" s="172"/>
    </row>
    <row r="30" spans="1:204" ht="20.25" customHeight="1">
      <c r="A30" s="173" t="s">
        <v>47</v>
      </c>
      <c r="B30" s="174">
        <f>SUM(B31:B33)</f>
        <v>164</v>
      </c>
      <c r="C30" s="174">
        <f>SUM(C31:C33)</f>
        <v>76</v>
      </c>
      <c r="D30" s="168">
        <f t="shared" si="0"/>
        <v>-88</v>
      </c>
      <c r="E30" s="169">
        <f t="shared" si="1"/>
        <v>-53.65853658536586</v>
      </c>
      <c r="F30" s="175">
        <f>SUM(F31:F33)</f>
        <v>76</v>
      </c>
      <c r="GV30" s="172"/>
    </row>
    <row r="31" spans="1:204" ht="20.25" customHeight="1">
      <c r="A31" s="176" t="s">
        <v>424</v>
      </c>
      <c r="B31" s="177">
        <v>60</v>
      </c>
      <c r="C31" s="178">
        <v>61</v>
      </c>
      <c r="D31" s="179">
        <f t="shared" si="0"/>
        <v>1</v>
      </c>
      <c r="E31" s="180">
        <f t="shared" si="1"/>
        <v>1.6666666666666667</v>
      </c>
      <c r="F31" s="181">
        <v>61</v>
      </c>
      <c r="GV31" s="172"/>
    </row>
    <row r="32" spans="1:204" ht="20.25" customHeight="1">
      <c r="A32" s="176" t="s">
        <v>48</v>
      </c>
      <c r="B32" s="177">
        <v>88</v>
      </c>
      <c r="C32" s="178"/>
      <c r="D32" s="179">
        <f t="shared" si="0"/>
        <v>-88</v>
      </c>
      <c r="E32" s="180">
        <f t="shared" si="1"/>
        <v>-100</v>
      </c>
      <c r="F32" s="181"/>
      <c r="GV32" s="172"/>
    </row>
    <row r="33" spans="1:204" ht="20.25" customHeight="1">
      <c r="A33" s="176" t="s">
        <v>425</v>
      </c>
      <c r="B33" s="177">
        <v>16</v>
      </c>
      <c r="C33" s="178">
        <v>15</v>
      </c>
      <c r="D33" s="179">
        <f t="shared" si="0"/>
        <v>-1</v>
      </c>
      <c r="E33" s="180">
        <f t="shared" si="1"/>
        <v>-6.25</v>
      </c>
      <c r="F33" s="181">
        <v>15</v>
      </c>
      <c r="GV33" s="172"/>
    </row>
    <row r="34" spans="1:204" ht="20.25" customHeight="1">
      <c r="A34" s="173" t="s">
        <v>49</v>
      </c>
      <c r="B34" s="174">
        <f>SUM(B35:B39)</f>
        <v>816</v>
      </c>
      <c r="C34" s="174">
        <f>SUM(C35:C39)</f>
        <v>340</v>
      </c>
      <c r="D34" s="168">
        <f t="shared" si="0"/>
        <v>-476</v>
      </c>
      <c r="E34" s="169">
        <f t="shared" si="1"/>
        <v>-58.333333333333336</v>
      </c>
      <c r="F34" s="175">
        <f>SUM(F35:F39)</f>
        <v>357</v>
      </c>
      <c r="GV34" s="172"/>
    </row>
    <row r="35" spans="1:204" ht="20.25" customHeight="1">
      <c r="A35" s="176" t="s">
        <v>426</v>
      </c>
      <c r="B35" s="177">
        <v>201</v>
      </c>
      <c r="C35" s="178">
        <v>187</v>
      </c>
      <c r="D35" s="179">
        <f t="shared" si="0"/>
        <v>-14</v>
      </c>
      <c r="E35" s="180">
        <f t="shared" si="1"/>
        <v>-6.965174129353234</v>
      </c>
      <c r="F35" s="181">
        <v>187</v>
      </c>
      <c r="GV35" s="172"/>
    </row>
    <row r="36" spans="1:204" ht="20.25" customHeight="1">
      <c r="A36" s="176" t="s">
        <v>427</v>
      </c>
      <c r="B36" s="177">
        <v>157</v>
      </c>
      <c r="C36" s="178"/>
      <c r="D36" s="179">
        <f t="shared" si="0"/>
        <v>-157</v>
      </c>
      <c r="E36" s="180">
        <f t="shared" si="1"/>
        <v>-100</v>
      </c>
      <c r="F36" s="181"/>
      <c r="GV36" s="172"/>
    </row>
    <row r="37" spans="1:204" ht="20.25" customHeight="1">
      <c r="A37" s="176" t="s">
        <v>428</v>
      </c>
      <c r="B37" s="177">
        <v>31</v>
      </c>
      <c r="C37" s="178"/>
      <c r="D37" s="179">
        <f t="shared" si="0"/>
        <v>-31</v>
      </c>
      <c r="E37" s="180">
        <f t="shared" si="1"/>
        <v>-100</v>
      </c>
      <c r="F37" s="181"/>
      <c r="GV37" s="172"/>
    </row>
    <row r="38" spans="1:204" ht="20.25" customHeight="1">
      <c r="A38" s="176" t="s">
        <v>429</v>
      </c>
      <c r="B38" s="177">
        <f>190+157</f>
        <v>347</v>
      </c>
      <c r="C38" s="178">
        <v>139</v>
      </c>
      <c r="D38" s="179">
        <f t="shared" si="0"/>
        <v>-208</v>
      </c>
      <c r="E38" s="180">
        <f t="shared" si="1"/>
        <v>-59.94236311239193</v>
      </c>
      <c r="F38" s="181">
        <v>139</v>
      </c>
      <c r="GV38" s="172"/>
    </row>
    <row r="39" spans="1:204" ht="20.25" customHeight="1">
      <c r="A39" s="176" t="s">
        <v>430</v>
      </c>
      <c r="B39" s="177">
        <v>80</v>
      </c>
      <c r="C39" s="178">
        <v>14</v>
      </c>
      <c r="D39" s="179">
        <f t="shared" si="0"/>
        <v>-66</v>
      </c>
      <c r="E39" s="180">
        <f t="shared" si="1"/>
        <v>-82.5</v>
      </c>
      <c r="F39" s="181">
        <f>17+14</f>
        <v>31</v>
      </c>
      <c r="GV39" s="172"/>
    </row>
    <row r="40" spans="1:204" ht="20.25" customHeight="1">
      <c r="A40" s="173" t="s">
        <v>50</v>
      </c>
      <c r="B40" s="168">
        <f>SUM(B41:B42)</f>
        <v>892</v>
      </c>
      <c r="C40" s="168">
        <f>SUM(C41:C42)</f>
        <v>1299</v>
      </c>
      <c r="D40" s="168">
        <f t="shared" si="0"/>
        <v>407</v>
      </c>
      <c r="E40" s="169">
        <f t="shared" si="1"/>
        <v>45.62780269058296</v>
      </c>
      <c r="F40" s="170">
        <f>SUM(F41:F42)</f>
        <v>1299</v>
      </c>
      <c r="GV40" s="172"/>
    </row>
    <row r="41" spans="1:204" ht="20.25" customHeight="1">
      <c r="A41" s="176" t="s">
        <v>431</v>
      </c>
      <c r="B41" s="177"/>
      <c r="C41" s="178">
        <v>110</v>
      </c>
      <c r="D41" s="179">
        <f t="shared" si="0"/>
        <v>110</v>
      </c>
      <c r="E41" s="180"/>
      <c r="F41" s="181">
        <v>110</v>
      </c>
      <c r="GV41" s="172"/>
    </row>
    <row r="42" spans="1:204" ht="20.25" customHeight="1">
      <c r="A42" s="176" t="s">
        <v>51</v>
      </c>
      <c r="B42" s="179">
        <v>892</v>
      </c>
      <c r="C42" s="178">
        <v>1189</v>
      </c>
      <c r="D42" s="179">
        <f t="shared" si="0"/>
        <v>297</v>
      </c>
      <c r="E42" s="180">
        <f t="shared" si="1"/>
        <v>33.29596412556054</v>
      </c>
      <c r="F42" s="181">
        <v>1189</v>
      </c>
      <c r="GV42" s="172"/>
    </row>
    <row r="43" spans="1:204" ht="20.25" customHeight="1">
      <c r="A43" s="173" t="s">
        <v>52</v>
      </c>
      <c r="B43" s="174">
        <f>SUM(B44:B47)</f>
        <v>161</v>
      </c>
      <c r="C43" s="174">
        <f>SUM(C44:C47)</f>
        <v>163</v>
      </c>
      <c r="D43" s="168">
        <f t="shared" si="0"/>
        <v>2</v>
      </c>
      <c r="E43" s="169">
        <f t="shared" si="1"/>
        <v>1.2422360248447204</v>
      </c>
      <c r="F43" s="175">
        <f>SUM(F44:F47)</f>
        <v>163</v>
      </c>
      <c r="GV43" s="172"/>
    </row>
    <row r="44" spans="1:204" ht="20.25" customHeight="1">
      <c r="A44" s="176" t="s">
        <v>432</v>
      </c>
      <c r="B44" s="177">
        <v>138</v>
      </c>
      <c r="C44" s="178">
        <v>138</v>
      </c>
      <c r="D44" s="179">
        <f t="shared" si="0"/>
        <v>0</v>
      </c>
      <c r="E44" s="180">
        <f t="shared" si="1"/>
        <v>0</v>
      </c>
      <c r="F44" s="181">
        <v>138</v>
      </c>
      <c r="GV44" s="172"/>
    </row>
    <row r="45" spans="1:204" ht="20.25" customHeight="1">
      <c r="A45" s="176" t="s">
        <v>433</v>
      </c>
      <c r="B45" s="177">
        <v>14</v>
      </c>
      <c r="C45" s="178">
        <v>12</v>
      </c>
      <c r="D45" s="179">
        <f t="shared" si="0"/>
        <v>-2</v>
      </c>
      <c r="E45" s="180">
        <f t="shared" si="1"/>
        <v>-14.285714285714285</v>
      </c>
      <c r="F45" s="181">
        <v>12</v>
      </c>
      <c r="GV45" s="172"/>
    </row>
    <row r="46" spans="1:204" ht="20.25" customHeight="1">
      <c r="A46" s="176" t="s">
        <v>53</v>
      </c>
      <c r="B46" s="177"/>
      <c r="C46" s="178"/>
      <c r="D46" s="179">
        <f t="shared" si="0"/>
        <v>0</v>
      </c>
      <c r="E46" s="180"/>
      <c r="F46" s="181"/>
      <c r="GV46" s="172"/>
    </row>
    <row r="47" spans="1:204" ht="20.25" customHeight="1">
      <c r="A47" s="176" t="s">
        <v>434</v>
      </c>
      <c r="B47" s="177">
        <v>9</v>
      </c>
      <c r="C47" s="178">
        <v>13</v>
      </c>
      <c r="D47" s="179"/>
      <c r="E47" s="180"/>
      <c r="F47" s="181">
        <v>13</v>
      </c>
      <c r="GV47" s="172"/>
    </row>
    <row r="48" spans="1:204" ht="20.25" customHeight="1">
      <c r="A48" s="173" t="s">
        <v>54</v>
      </c>
      <c r="B48" s="174">
        <f>SUM(B49:B53)</f>
        <v>57</v>
      </c>
      <c r="C48" s="174">
        <f>SUM(C49:C53)</f>
        <v>96</v>
      </c>
      <c r="D48" s="168">
        <f t="shared" si="0"/>
        <v>39</v>
      </c>
      <c r="E48" s="169">
        <f t="shared" si="1"/>
        <v>68.42105263157895</v>
      </c>
      <c r="F48" s="175">
        <f>SUM(F49:F53)</f>
        <v>96</v>
      </c>
      <c r="GV48" s="172"/>
    </row>
    <row r="49" spans="1:204" ht="20.25" customHeight="1">
      <c r="A49" s="176" t="s">
        <v>435</v>
      </c>
      <c r="B49" s="177">
        <v>35</v>
      </c>
      <c r="C49" s="178">
        <v>32</v>
      </c>
      <c r="D49" s="179">
        <f t="shared" si="0"/>
        <v>-3</v>
      </c>
      <c r="E49" s="180">
        <f t="shared" si="1"/>
        <v>-8.571428571428571</v>
      </c>
      <c r="F49" s="181">
        <v>32</v>
      </c>
      <c r="GV49" s="172"/>
    </row>
    <row r="50" spans="1:204" ht="20.25" customHeight="1">
      <c r="A50" s="176" t="s">
        <v>436</v>
      </c>
      <c r="B50" s="177">
        <v>8</v>
      </c>
      <c r="C50" s="178"/>
      <c r="D50" s="179">
        <f t="shared" si="0"/>
        <v>-8</v>
      </c>
      <c r="E50" s="180">
        <f t="shared" si="1"/>
        <v>-100</v>
      </c>
      <c r="F50" s="181"/>
      <c r="GV50" s="172"/>
    </row>
    <row r="51" spans="1:204" ht="20.25" customHeight="1">
      <c r="A51" s="176" t="s">
        <v>718</v>
      </c>
      <c r="B51" s="177"/>
      <c r="C51" s="178">
        <v>48</v>
      </c>
      <c r="D51" s="179"/>
      <c r="E51" s="180"/>
      <c r="F51" s="181">
        <v>48</v>
      </c>
      <c r="GV51" s="172"/>
    </row>
    <row r="52" spans="1:204" ht="20.25" customHeight="1">
      <c r="A52" s="176" t="s">
        <v>437</v>
      </c>
      <c r="B52" s="177">
        <v>12</v>
      </c>
      <c r="C52" s="178">
        <v>16</v>
      </c>
      <c r="D52" s="179">
        <f t="shared" si="0"/>
        <v>4</v>
      </c>
      <c r="E52" s="180">
        <f t="shared" si="1"/>
        <v>33.33333333333333</v>
      </c>
      <c r="F52" s="181">
        <v>16</v>
      </c>
      <c r="GV52" s="172"/>
    </row>
    <row r="53" spans="1:204" ht="20.25" customHeight="1">
      <c r="A53" s="176" t="s">
        <v>438</v>
      </c>
      <c r="B53" s="177">
        <v>2</v>
      </c>
      <c r="C53" s="178"/>
      <c r="D53" s="179">
        <f t="shared" si="0"/>
        <v>-2</v>
      </c>
      <c r="E53" s="180">
        <f t="shared" si="1"/>
        <v>-100</v>
      </c>
      <c r="F53" s="181"/>
      <c r="GV53" s="172"/>
    </row>
    <row r="54" spans="1:204" ht="20.25" customHeight="1">
      <c r="A54" s="173" t="s">
        <v>55</v>
      </c>
      <c r="B54" s="174">
        <f>B55+B56</f>
        <v>294</v>
      </c>
      <c r="C54" s="174">
        <f>C55+C56</f>
        <v>264</v>
      </c>
      <c r="D54" s="168">
        <f t="shared" si="0"/>
        <v>-30</v>
      </c>
      <c r="E54" s="169">
        <f t="shared" si="1"/>
        <v>-10.204081632653061</v>
      </c>
      <c r="F54" s="175">
        <f>F55+F56</f>
        <v>264</v>
      </c>
      <c r="GV54" s="172"/>
    </row>
    <row r="55" spans="1:204" ht="20.25" customHeight="1">
      <c r="A55" s="176" t="s">
        <v>439</v>
      </c>
      <c r="B55" s="177">
        <v>218</v>
      </c>
      <c r="C55" s="178">
        <v>205</v>
      </c>
      <c r="D55" s="179">
        <f t="shared" si="0"/>
        <v>-13</v>
      </c>
      <c r="E55" s="180">
        <f t="shared" si="1"/>
        <v>-5.963302752293578</v>
      </c>
      <c r="F55" s="181">
        <v>205</v>
      </c>
      <c r="GV55" s="172"/>
    </row>
    <row r="56" spans="1:204" ht="20.25" customHeight="1">
      <c r="A56" s="176" t="s">
        <v>719</v>
      </c>
      <c r="B56" s="177">
        <v>76</v>
      </c>
      <c r="C56" s="178">
        <v>59</v>
      </c>
      <c r="D56" s="179">
        <f>C56-B56</f>
        <v>-17</v>
      </c>
      <c r="E56" s="180">
        <f>D56/B56*100</f>
        <v>-22.36842105263158</v>
      </c>
      <c r="F56" s="181">
        <v>59</v>
      </c>
      <c r="GV56" s="172"/>
    </row>
    <row r="57" spans="1:204" ht="20.25" customHeight="1">
      <c r="A57" s="173" t="s">
        <v>56</v>
      </c>
      <c r="B57" s="174">
        <f>SUM(B58:B61)</f>
        <v>225</v>
      </c>
      <c r="C57" s="174">
        <f>SUM(C58:C61)</f>
        <v>173</v>
      </c>
      <c r="D57" s="168">
        <f t="shared" si="0"/>
        <v>-52</v>
      </c>
      <c r="E57" s="169">
        <f t="shared" si="1"/>
        <v>-23.11111111111111</v>
      </c>
      <c r="F57" s="175">
        <f>SUM(F58:F61)</f>
        <v>173</v>
      </c>
      <c r="GV57" s="172"/>
    </row>
    <row r="58" spans="1:204" ht="20.25" customHeight="1">
      <c r="A58" s="176" t="s">
        <v>440</v>
      </c>
      <c r="B58" s="177">
        <v>128</v>
      </c>
      <c r="C58" s="178">
        <v>110</v>
      </c>
      <c r="D58" s="179">
        <f t="shared" si="0"/>
        <v>-18</v>
      </c>
      <c r="E58" s="180">
        <f t="shared" si="1"/>
        <v>-14.0625</v>
      </c>
      <c r="F58" s="181">
        <v>110</v>
      </c>
      <c r="GV58" s="172"/>
    </row>
    <row r="59" spans="1:204" ht="20.25" customHeight="1">
      <c r="A59" s="176" t="s">
        <v>57</v>
      </c>
      <c r="B59" s="177">
        <v>30</v>
      </c>
      <c r="C59" s="178">
        <v>10</v>
      </c>
      <c r="D59" s="179">
        <f t="shared" si="0"/>
        <v>-20</v>
      </c>
      <c r="E59" s="180">
        <f t="shared" si="1"/>
        <v>-66.66666666666666</v>
      </c>
      <c r="F59" s="181">
        <v>10</v>
      </c>
      <c r="GV59" s="172"/>
    </row>
    <row r="60" spans="1:204" ht="20.25" customHeight="1">
      <c r="A60" s="176" t="s">
        <v>441</v>
      </c>
      <c r="B60" s="177">
        <v>50</v>
      </c>
      <c r="C60" s="178">
        <v>46</v>
      </c>
      <c r="D60" s="179">
        <f t="shared" si="0"/>
        <v>-4</v>
      </c>
      <c r="E60" s="180">
        <f t="shared" si="1"/>
        <v>-8</v>
      </c>
      <c r="F60" s="181">
        <v>46</v>
      </c>
      <c r="GV60" s="172"/>
    </row>
    <row r="61" spans="1:204" ht="20.25" customHeight="1">
      <c r="A61" s="176" t="s">
        <v>442</v>
      </c>
      <c r="B61" s="177">
        <v>17</v>
      </c>
      <c r="C61" s="178">
        <v>7</v>
      </c>
      <c r="D61" s="179">
        <f t="shared" si="0"/>
        <v>-10</v>
      </c>
      <c r="E61" s="180">
        <f t="shared" si="1"/>
        <v>-58.82352941176471</v>
      </c>
      <c r="F61" s="181">
        <v>7</v>
      </c>
      <c r="GV61" s="172"/>
    </row>
    <row r="62" spans="1:204" ht="20.25" customHeight="1">
      <c r="A62" s="173" t="s">
        <v>58</v>
      </c>
      <c r="B62" s="174">
        <f>SUM(B63:B68)</f>
        <v>970</v>
      </c>
      <c r="C62" s="174">
        <f>SUM(C63:C68)</f>
        <v>872</v>
      </c>
      <c r="D62" s="168">
        <f t="shared" si="0"/>
        <v>-98</v>
      </c>
      <c r="E62" s="169">
        <f t="shared" si="1"/>
        <v>-10.103092783505154</v>
      </c>
      <c r="F62" s="175">
        <f>SUM(F63:F68)</f>
        <v>872</v>
      </c>
      <c r="GV62" s="172"/>
    </row>
    <row r="63" spans="1:204" ht="20.25" customHeight="1">
      <c r="A63" s="176" t="s">
        <v>443</v>
      </c>
      <c r="B63" s="177">
        <v>864</v>
      </c>
      <c r="C63" s="178">
        <v>803</v>
      </c>
      <c r="D63" s="179">
        <f t="shared" si="0"/>
        <v>-61</v>
      </c>
      <c r="E63" s="180">
        <f t="shared" si="1"/>
        <v>-7.060185185185184</v>
      </c>
      <c r="F63" s="181">
        <v>803</v>
      </c>
      <c r="GV63" s="172"/>
    </row>
    <row r="64" spans="1:204" ht="20.25" customHeight="1">
      <c r="A64" s="176" t="s">
        <v>444</v>
      </c>
      <c r="B64" s="177">
        <v>30</v>
      </c>
      <c r="C64" s="178"/>
      <c r="D64" s="179">
        <f t="shared" si="0"/>
        <v>-30</v>
      </c>
      <c r="E64" s="180">
        <f t="shared" si="1"/>
        <v>-100</v>
      </c>
      <c r="F64" s="181"/>
      <c r="GV64" s="172"/>
    </row>
    <row r="65" spans="1:204" ht="20.25" customHeight="1">
      <c r="A65" s="176" t="s">
        <v>445</v>
      </c>
      <c r="B65" s="177"/>
      <c r="C65" s="178"/>
      <c r="D65" s="179">
        <f t="shared" si="0"/>
        <v>0</v>
      </c>
      <c r="E65" s="180"/>
      <c r="F65" s="181"/>
      <c r="GV65" s="172"/>
    </row>
    <row r="66" spans="1:204" ht="20.25" customHeight="1">
      <c r="A66" s="176" t="s">
        <v>446</v>
      </c>
      <c r="B66" s="177"/>
      <c r="C66" s="178"/>
      <c r="D66" s="179">
        <f t="shared" si="0"/>
        <v>0</v>
      </c>
      <c r="E66" s="180"/>
      <c r="F66" s="181"/>
      <c r="GV66" s="172"/>
    </row>
    <row r="67" spans="1:204" ht="20.25" customHeight="1">
      <c r="A67" s="176" t="s">
        <v>447</v>
      </c>
      <c r="B67" s="177">
        <v>76</v>
      </c>
      <c r="C67" s="178">
        <v>69</v>
      </c>
      <c r="D67" s="179">
        <f t="shared" si="0"/>
        <v>-7</v>
      </c>
      <c r="E67" s="180">
        <f t="shared" si="1"/>
        <v>-9.210526315789473</v>
      </c>
      <c r="F67" s="181">
        <v>69</v>
      </c>
      <c r="GV67" s="172"/>
    </row>
    <row r="68" spans="1:204" ht="20.25" customHeight="1">
      <c r="A68" s="176" t="s">
        <v>448</v>
      </c>
      <c r="B68" s="177"/>
      <c r="C68" s="178"/>
      <c r="D68" s="179">
        <f t="shared" si="0"/>
        <v>0</v>
      </c>
      <c r="E68" s="180"/>
      <c r="F68" s="181"/>
      <c r="GV68" s="172"/>
    </row>
    <row r="69" spans="1:204" ht="20.25" customHeight="1">
      <c r="A69" s="182" t="s">
        <v>59</v>
      </c>
      <c r="B69" s="183">
        <f>B70+B71</f>
        <v>193</v>
      </c>
      <c r="C69" s="183">
        <f>C70+C71</f>
        <v>98</v>
      </c>
      <c r="D69" s="168"/>
      <c r="E69" s="169"/>
      <c r="F69" s="184">
        <f>F70+F71</f>
        <v>98</v>
      </c>
      <c r="GV69" s="172"/>
    </row>
    <row r="70" spans="1:204" ht="20.25" customHeight="1">
      <c r="A70" s="185" t="s">
        <v>449</v>
      </c>
      <c r="B70" s="177">
        <v>86</v>
      </c>
      <c r="C70" s="178">
        <v>7</v>
      </c>
      <c r="D70" s="179"/>
      <c r="E70" s="180"/>
      <c r="F70" s="181">
        <v>7</v>
      </c>
      <c r="GV70" s="172"/>
    </row>
    <row r="71" spans="1:204" ht="20.25" customHeight="1">
      <c r="A71" s="185" t="s">
        <v>450</v>
      </c>
      <c r="B71" s="177">
        <v>107</v>
      </c>
      <c r="C71" s="178">
        <v>91</v>
      </c>
      <c r="D71" s="179"/>
      <c r="E71" s="180"/>
      <c r="F71" s="181">
        <v>91</v>
      </c>
      <c r="GV71" s="172"/>
    </row>
    <row r="72" spans="1:204" ht="20.25" customHeight="1">
      <c r="A72" s="173" t="s">
        <v>60</v>
      </c>
      <c r="B72" s="174">
        <f>SUM(B73:B74)</f>
        <v>49</v>
      </c>
      <c r="C72" s="174">
        <f>SUM(C73:C74)</f>
        <v>35</v>
      </c>
      <c r="D72" s="168">
        <f t="shared" si="0"/>
        <v>-14</v>
      </c>
      <c r="E72" s="169">
        <f t="shared" si="1"/>
        <v>-28.57142857142857</v>
      </c>
      <c r="F72" s="175">
        <f>SUM(F73:F74)</f>
        <v>35</v>
      </c>
      <c r="GV72" s="172"/>
    </row>
    <row r="73" spans="1:204" ht="20.25" customHeight="1">
      <c r="A73" s="176" t="s">
        <v>451</v>
      </c>
      <c r="B73" s="177">
        <v>41</v>
      </c>
      <c r="C73" s="178">
        <v>35</v>
      </c>
      <c r="D73" s="179">
        <f t="shared" si="0"/>
        <v>-6</v>
      </c>
      <c r="E73" s="180">
        <f t="shared" si="1"/>
        <v>-14.634146341463413</v>
      </c>
      <c r="F73" s="181">
        <v>35</v>
      </c>
      <c r="GV73" s="172"/>
    </row>
    <row r="74" spans="1:204" ht="20.25" customHeight="1">
      <c r="A74" s="176" t="s">
        <v>61</v>
      </c>
      <c r="B74" s="177">
        <v>8</v>
      </c>
      <c r="C74" s="178"/>
      <c r="D74" s="179">
        <f t="shared" si="0"/>
        <v>-8</v>
      </c>
      <c r="E74" s="180">
        <f t="shared" si="1"/>
        <v>-100</v>
      </c>
      <c r="F74" s="181"/>
      <c r="GV74" s="172"/>
    </row>
    <row r="75" spans="1:204" ht="20.25" customHeight="1">
      <c r="A75" s="173" t="s">
        <v>62</v>
      </c>
      <c r="B75" s="174">
        <f>SUM(B76:B77)</f>
        <v>100</v>
      </c>
      <c r="C75" s="174">
        <f>SUM(C76:C77)</f>
        <v>83</v>
      </c>
      <c r="D75" s="168">
        <f t="shared" si="0"/>
        <v>-17</v>
      </c>
      <c r="E75" s="169">
        <f t="shared" si="1"/>
        <v>-17</v>
      </c>
      <c r="F75" s="175">
        <f>SUM(F76:F77)</f>
        <v>83</v>
      </c>
      <c r="GV75" s="172"/>
    </row>
    <row r="76" spans="1:204" ht="20.25" customHeight="1">
      <c r="A76" s="176" t="s">
        <v>452</v>
      </c>
      <c r="B76" s="177">
        <v>88</v>
      </c>
      <c r="C76" s="178">
        <v>80</v>
      </c>
      <c r="D76" s="179">
        <f t="shared" si="0"/>
        <v>-8</v>
      </c>
      <c r="E76" s="180">
        <f t="shared" si="1"/>
        <v>-9.090909090909092</v>
      </c>
      <c r="F76" s="181">
        <v>80</v>
      </c>
      <c r="GV76" s="172"/>
    </row>
    <row r="77" spans="1:204" ht="20.25" customHeight="1">
      <c r="A77" s="176" t="s">
        <v>63</v>
      </c>
      <c r="B77" s="177">
        <v>12</v>
      </c>
      <c r="C77" s="178">
        <v>3</v>
      </c>
      <c r="D77" s="179">
        <f aca="true" t="shared" si="2" ref="D77:D144">C77-B77</f>
        <v>-9</v>
      </c>
      <c r="E77" s="180">
        <f aca="true" t="shared" si="3" ref="E77:E144">D77/B77*100</f>
        <v>-75</v>
      </c>
      <c r="F77" s="181">
        <v>3</v>
      </c>
      <c r="GV77" s="172"/>
    </row>
    <row r="78" spans="1:204" ht="20.25" customHeight="1">
      <c r="A78" s="173" t="s">
        <v>64</v>
      </c>
      <c r="B78" s="174">
        <f>B79+B80</f>
        <v>9</v>
      </c>
      <c r="C78" s="174">
        <f>C79</f>
        <v>9</v>
      </c>
      <c r="D78" s="168">
        <f t="shared" si="2"/>
        <v>0</v>
      </c>
      <c r="E78" s="169">
        <f t="shared" si="3"/>
        <v>0</v>
      </c>
      <c r="F78" s="175">
        <f>F79</f>
        <v>9</v>
      </c>
      <c r="GV78" s="172"/>
    </row>
    <row r="79" spans="1:204" ht="20.25" customHeight="1">
      <c r="A79" s="176" t="s">
        <v>453</v>
      </c>
      <c r="B79" s="177">
        <v>3</v>
      </c>
      <c r="C79" s="178">
        <v>9</v>
      </c>
      <c r="D79" s="179">
        <f t="shared" si="2"/>
        <v>6</v>
      </c>
      <c r="E79" s="180">
        <f t="shared" si="3"/>
        <v>200</v>
      </c>
      <c r="F79" s="181">
        <v>9</v>
      </c>
      <c r="GV79" s="186"/>
    </row>
    <row r="80" spans="1:204" ht="20.25" customHeight="1">
      <c r="A80" s="176" t="s">
        <v>745</v>
      </c>
      <c r="B80" s="177">
        <v>6</v>
      </c>
      <c r="C80" s="178">
        <v>9</v>
      </c>
      <c r="D80" s="179">
        <f>C80-B80</f>
        <v>3</v>
      </c>
      <c r="E80" s="180">
        <f>D80/B80*100</f>
        <v>50</v>
      </c>
      <c r="F80" s="181">
        <v>9</v>
      </c>
      <c r="GV80" s="186"/>
    </row>
    <row r="81" spans="1:204" ht="20.25" customHeight="1">
      <c r="A81" s="173" t="s">
        <v>66</v>
      </c>
      <c r="B81" s="174">
        <f>SUM(B82:B84)</f>
        <v>166</v>
      </c>
      <c r="C81" s="174">
        <f>SUM(C82:C84)</f>
        <v>84</v>
      </c>
      <c r="D81" s="168">
        <f t="shared" si="2"/>
        <v>-82</v>
      </c>
      <c r="E81" s="169">
        <f t="shared" si="3"/>
        <v>-49.39759036144578</v>
      </c>
      <c r="F81" s="175">
        <f>SUM(F82:F84)</f>
        <v>84</v>
      </c>
      <c r="GV81" s="172"/>
    </row>
    <row r="82" spans="1:204" ht="20.25" customHeight="1">
      <c r="A82" s="176" t="s">
        <v>454</v>
      </c>
      <c r="B82" s="177">
        <v>102</v>
      </c>
      <c r="C82" s="178">
        <v>64</v>
      </c>
      <c r="D82" s="179">
        <f t="shared" si="2"/>
        <v>-38</v>
      </c>
      <c r="E82" s="180">
        <f t="shared" si="3"/>
        <v>-37.254901960784316</v>
      </c>
      <c r="F82" s="181">
        <v>64</v>
      </c>
      <c r="GV82" s="172"/>
    </row>
    <row r="83" spans="1:204" ht="20.25" customHeight="1">
      <c r="A83" s="176" t="s">
        <v>455</v>
      </c>
      <c r="B83" s="177">
        <v>64</v>
      </c>
      <c r="C83" s="178">
        <v>20</v>
      </c>
      <c r="D83" s="179">
        <f t="shared" si="2"/>
        <v>-44</v>
      </c>
      <c r="E83" s="180">
        <f t="shared" si="3"/>
        <v>-68.75</v>
      </c>
      <c r="F83" s="181">
        <v>20</v>
      </c>
      <c r="GV83" s="172"/>
    </row>
    <row r="84" spans="1:204" ht="20.25" customHeight="1">
      <c r="A84" s="176" t="s">
        <v>456</v>
      </c>
      <c r="B84" s="177"/>
      <c r="C84" s="178"/>
      <c r="D84" s="179">
        <f t="shared" si="2"/>
        <v>0</v>
      </c>
      <c r="E84" s="180"/>
      <c r="F84" s="181"/>
      <c r="GV84" s="172"/>
    </row>
    <row r="85" spans="1:204" ht="20.25" customHeight="1">
      <c r="A85" s="173" t="s">
        <v>67</v>
      </c>
      <c r="B85" s="174">
        <f>SUM(B86:B87)</f>
        <v>1116</v>
      </c>
      <c r="C85" s="174">
        <f>SUM(C86:C87)</f>
        <v>831</v>
      </c>
      <c r="D85" s="168">
        <f t="shared" si="2"/>
        <v>-285</v>
      </c>
      <c r="E85" s="169">
        <f t="shared" si="3"/>
        <v>-25.537634408602152</v>
      </c>
      <c r="F85" s="175">
        <f>SUM(F86:F87)</f>
        <v>831</v>
      </c>
      <c r="GV85" s="172"/>
    </row>
    <row r="86" spans="1:204" ht="20.25" customHeight="1">
      <c r="A86" s="176" t="s">
        <v>457</v>
      </c>
      <c r="B86" s="177">
        <v>831</v>
      </c>
      <c r="C86" s="178">
        <v>682</v>
      </c>
      <c r="D86" s="179">
        <f t="shared" si="2"/>
        <v>-149</v>
      </c>
      <c r="E86" s="180">
        <f t="shared" si="3"/>
        <v>-17.930204572803852</v>
      </c>
      <c r="F86" s="181">
        <v>682</v>
      </c>
      <c r="GV86" s="172"/>
    </row>
    <row r="87" spans="1:204" ht="20.25" customHeight="1">
      <c r="A87" s="176" t="s">
        <v>458</v>
      </c>
      <c r="B87" s="177">
        <v>285</v>
      </c>
      <c r="C87" s="178">
        <v>149</v>
      </c>
      <c r="D87" s="179">
        <f t="shared" si="2"/>
        <v>-136</v>
      </c>
      <c r="E87" s="180">
        <f t="shared" si="3"/>
        <v>-47.719298245614034</v>
      </c>
      <c r="F87" s="181">
        <v>149</v>
      </c>
      <c r="GV87" s="172"/>
    </row>
    <row r="88" spans="1:204" ht="20.25" customHeight="1">
      <c r="A88" s="173" t="s">
        <v>68</v>
      </c>
      <c r="B88" s="174">
        <f>SUM(B89:B91)</f>
        <v>751</v>
      </c>
      <c r="C88" s="174">
        <f>SUM(C89:C91)</f>
        <v>299</v>
      </c>
      <c r="D88" s="168">
        <f t="shared" si="2"/>
        <v>-452</v>
      </c>
      <c r="E88" s="169">
        <f t="shared" si="3"/>
        <v>-60.18641810918774</v>
      </c>
      <c r="F88" s="175">
        <f>SUM(F89:F91)</f>
        <v>299</v>
      </c>
      <c r="GV88" s="172"/>
    </row>
    <row r="89" spans="1:204" ht="20.25" customHeight="1">
      <c r="A89" s="176" t="s">
        <v>459</v>
      </c>
      <c r="B89" s="177">
        <v>230</v>
      </c>
      <c r="C89" s="178">
        <v>205</v>
      </c>
      <c r="D89" s="179">
        <f t="shared" si="2"/>
        <v>-25</v>
      </c>
      <c r="E89" s="180">
        <f t="shared" si="3"/>
        <v>-10.869565217391305</v>
      </c>
      <c r="F89" s="181">
        <v>205</v>
      </c>
      <c r="GV89" s="172"/>
    </row>
    <row r="90" spans="1:204" ht="20.25" customHeight="1">
      <c r="A90" s="176" t="s">
        <v>460</v>
      </c>
      <c r="B90" s="177">
        <f>481+35</f>
        <v>516</v>
      </c>
      <c r="C90" s="178">
        <v>89</v>
      </c>
      <c r="D90" s="179">
        <f t="shared" si="2"/>
        <v>-427</v>
      </c>
      <c r="E90" s="180">
        <f t="shared" si="3"/>
        <v>-82.75193798449612</v>
      </c>
      <c r="F90" s="181">
        <v>89</v>
      </c>
      <c r="GV90" s="172"/>
    </row>
    <row r="91" spans="1:204" ht="20.25" customHeight="1">
      <c r="A91" s="176" t="s">
        <v>461</v>
      </c>
      <c r="B91" s="177">
        <v>5</v>
      </c>
      <c r="C91" s="178">
        <v>5</v>
      </c>
      <c r="D91" s="179">
        <f t="shared" si="2"/>
        <v>0</v>
      </c>
      <c r="E91" s="180">
        <f t="shared" si="3"/>
        <v>0</v>
      </c>
      <c r="F91" s="181">
        <v>5</v>
      </c>
      <c r="GV91" s="172"/>
    </row>
    <row r="92" spans="1:204" ht="20.25" customHeight="1">
      <c r="A92" s="173" t="s">
        <v>69</v>
      </c>
      <c r="B92" s="174">
        <f>SUM(B93:B95)</f>
        <v>237</v>
      </c>
      <c r="C92" s="174">
        <f>SUM(C93:C95)</f>
        <v>72</v>
      </c>
      <c r="D92" s="168">
        <f t="shared" si="2"/>
        <v>-165</v>
      </c>
      <c r="E92" s="169">
        <f t="shared" si="3"/>
        <v>-69.62025316455697</v>
      </c>
      <c r="F92" s="175">
        <f>SUM(F93:F95)</f>
        <v>72</v>
      </c>
      <c r="GV92" s="172"/>
    </row>
    <row r="93" spans="1:204" ht="20.25" customHeight="1">
      <c r="A93" s="176" t="s">
        <v>462</v>
      </c>
      <c r="B93" s="177">
        <v>64</v>
      </c>
      <c r="C93" s="178">
        <v>57</v>
      </c>
      <c r="D93" s="179">
        <f t="shared" si="2"/>
        <v>-7</v>
      </c>
      <c r="E93" s="180">
        <f t="shared" si="3"/>
        <v>-10.9375</v>
      </c>
      <c r="F93" s="181">
        <v>57</v>
      </c>
      <c r="GV93" s="172"/>
    </row>
    <row r="94" spans="1:204" ht="20.25" customHeight="1">
      <c r="A94" s="176" t="s">
        <v>463</v>
      </c>
      <c r="B94" s="177">
        <v>157</v>
      </c>
      <c r="C94" s="178"/>
      <c r="D94" s="179">
        <f t="shared" si="2"/>
        <v>-157</v>
      </c>
      <c r="E94" s="180">
        <f t="shared" si="3"/>
        <v>-100</v>
      </c>
      <c r="F94" s="181"/>
      <c r="GV94" s="172"/>
    </row>
    <row r="95" spans="1:204" ht="20.25" customHeight="1">
      <c r="A95" s="185" t="s">
        <v>464</v>
      </c>
      <c r="B95" s="177">
        <v>16</v>
      </c>
      <c r="C95" s="178">
        <v>15</v>
      </c>
      <c r="D95" s="179"/>
      <c r="E95" s="180">
        <f t="shared" si="3"/>
        <v>0</v>
      </c>
      <c r="F95" s="181">
        <v>15</v>
      </c>
      <c r="GV95" s="172"/>
    </row>
    <row r="96" spans="1:204" ht="20.25" customHeight="1">
      <c r="A96" s="173" t="s">
        <v>70</v>
      </c>
      <c r="B96" s="174">
        <f>B97+B98</f>
        <v>30</v>
      </c>
      <c r="C96" s="174">
        <f>SUM(C97:C98)</f>
        <v>35</v>
      </c>
      <c r="D96" s="168">
        <f t="shared" si="2"/>
        <v>5</v>
      </c>
      <c r="E96" s="169">
        <f t="shared" si="3"/>
        <v>16.666666666666664</v>
      </c>
      <c r="F96" s="175">
        <f>SUM(F97:F98)</f>
        <v>35</v>
      </c>
      <c r="GV96" s="172"/>
    </row>
    <row r="97" spans="1:204" ht="20.25" customHeight="1">
      <c r="A97" s="176" t="s">
        <v>465</v>
      </c>
      <c r="B97" s="177">
        <v>25</v>
      </c>
      <c r="C97" s="178">
        <v>29</v>
      </c>
      <c r="D97" s="179">
        <f t="shared" si="2"/>
        <v>4</v>
      </c>
      <c r="E97" s="180">
        <f t="shared" si="3"/>
        <v>16</v>
      </c>
      <c r="F97" s="181">
        <v>29</v>
      </c>
      <c r="GV97" s="172"/>
    </row>
    <row r="98" spans="1:204" ht="20.25" customHeight="1">
      <c r="A98" s="185" t="s">
        <v>466</v>
      </c>
      <c r="B98" s="177">
        <v>5</v>
      </c>
      <c r="C98" s="178">
        <v>6</v>
      </c>
      <c r="D98" s="179">
        <f t="shared" si="2"/>
        <v>1</v>
      </c>
      <c r="E98" s="180">
        <f t="shared" si="3"/>
        <v>20</v>
      </c>
      <c r="F98" s="181">
        <v>6</v>
      </c>
      <c r="GV98" s="172"/>
    </row>
    <row r="99" spans="1:204" ht="20.25" customHeight="1">
      <c r="A99" s="173" t="s">
        <v>467</v>
      </c>
      <c r="B99" s="174">
        <f>B100</f>
        <v>85</v>
      </c>
      <c r="C99" s="174">
        <f>C100</f>
        <v>20</v>
      </c>
      <c r="D99" s="168">
        <f t="shared" si="2"/>
        <v>-65</v>
      </c>
      <c r="E99" s="169">
        <f t="shared" si="3"/>
        <v>-76.47058823529412</v>
      </c>
      <c r="F99" s="175">
        <f>F100</f>
        <v>20</v>
      </c>
      <c r="GV99" s="172"/>
    </row>
    <row r="100" spans="1:204" ht="20.25" customHeight="1">
      <c r="A100" s="173" t="s">
        <v>71</v>
      </c>
      <c r="B100" s="174">
        <f>SUM(B101:B102)</f>
        <v>85</v>
      </c>
      <c r="C100" s="174">
        <f>SUM(C101:C102)</f>
        <v>20</v>
      </c>
      <c r="D100" s="168">
        <f t="shared" si="2"/>
        <v>-65</v>
      </c>
      <c r="E100" s="169">
        <f t="shared" si="3"/>
        <v>-76.47058823529412</v>
      </c>
      <c r="F100" s="175">
        <f>SUM(F101:F102)</f>
        <v>20</v>
      </c>
      <c r="GV100" s="172"/>
    </row>
    <row r="101" spans="1:204" ht="20.25" customHeight="1">
      <c r="A101" s="176" t="s">
        <v>468</v>
      </c>
      <c r="B101" s="177">
        <v>53</v>
      </c>
      <c r="C101" s="178">
        <v>20</v>
      </c>
      <c r="D101" s="179">
        <f t="shared" si="2"/>
        <v>-33</v>
      </c>
      <c r="E101" s="180">
        <f t="shared" si="3"/>
        <v>-62.264150943396224</v>
      </c>
      <c r="F101" s="181">
        <v>20</v>
      </c>
      <c r="GV101" s="172"/>
    </row>
    <row r="102" spans="1:204" ht="20.25" customHeight="1">
      <c r="A102" s="176" t="s">
        <v>72</v>
      </c>
      <c r="B102" s="177">
        <v>32</v>
      </c>
      <c r="C102" s="178"/>
      <c r="D102" s="179">
        <f t="shared" si="2"/>
        <v>-32</v>
      </c>
      <c r="E102" s="180">
        <f t="shared" si="3"/>
        <v>-100</v>
      </c>
      <c r="F102" s="181"/>
      <c r="GV102" s="172"/>
    </row>
    <row r="103" spans="1:204" ht="20.25" customHeight="1">
      <c r="A103" s="173" t="s">
        <v>469</v>
      </c>
      <c r="B103" s="168">
        <f>B104+B107+B117+B120+B123</f>
        <v>6419</v>
      </c>
      <c r="C103" s="168">
        <f>C104+C107+C117+C120+C123</f>
        <v>4219</v>
      </c>
      <c r="D103" s="168">
        <f t="shared" si="2"/>
        <v>-2200</v>
      </c>
      <c r="E103" s="169">
        <f t="shared" si="3"/>
        <v>-34.27325128524693</v>
      </c>
      <c r="F103" s="170">
        <f>F104+F107+F117+F120+F123</f>
        <v>4947</v>
      </c>
      <c r="GV103" s="172"/>
    </row>
    <row r="104" spans="1:204" ht="20.25" customHeight="1">
      <c r="A104" s="173" t="s">
        <v>470</v>
      </c>
      <c r="B104" s="174">
        <f>B105+B106</f>
        <v>262</v>
      </c>
      <c r="C104" s="174">
        <f>C105+C106</f>
        <v>289</v>
      </c>
      <c r="D104" s="168">
        <f t="shared" si="2"/>
        <v>27</v>
      </c>
      <c r="E104" s="169">
        <f t="shared" si="3"/>
        <v>10.305343511450381</v>
      </c>
      <c r="F104" s="175">
        <f>F105+F106</f>
        <v>289</v>
      </c>
      <c r="GV104" s="172"/>
    </row>
    <row r="105" spans="1:204" ht="20.25" customHeight="1">
      <c r="A105" s="176" t="s">
        <v>73</v>
      </c>
      <c r="B105" s="177">
        <v>262</v>
      </c>
      <c r="C105" s="178">
        <v>272</v>
      </c>
      <c r="D105" s="179">
        <f t="shared" si="2"/>
        <v>10</v>
      </c>
      <c r="E105" s="180">
        <f t="shared" si="3"/>
        <v>3.816793893129771</v>
      </c>
      <c r="F105" s="181">
        <v>272</v>
      </c>
      <c r="GV105" s="172"/>
    </row>
    <row r="106" spans="1:204" ht="20.25" customHeight="1">
      <c r="A106" s="176" t="s">
        <v>471</v>
      </c>
      <c r="B106" s="177"/>
      <c r="C106" s="178">
        <v>17</v>
      </c>
      <c r="D106" s="179">
        <f t="shared" si="2"/>
        <v>17</v>
      </c>
      <c r="E106" s="180"/>
      <c r="F106" s="181">
        <v>17</v>
      </c>
      <c r="GV106" s="172"/>
    </row>
    <row r="107" spans="1:204" ht="20.25" customHeight="1">
      <c r="A107" s="173" t="s">
        <v>74</v>
      </c>
      <c r="B107" s="168">
        <f>SUM(B108:B116)</f>
        <v>3717</v>
      </c>
      <c r="C107" s="168">
        <f>SUM(C108:C116)</f>
        <v>3549</v>
      </c>
      <c r="D107" s="168">
        <f t="shared" si="2"/>
        <v>-168</v>
      </c>
      <c r="E107" s="169">
        <f t="shared" si="3"/>
        <v>-4.519774011299435</v>
      </c>
      <c r="F107" s="170">
        <f>SUM(F108:F116)</f>
        <v>4247</v>
      </c>
      <c r="GV107" s="172"/>
    </row>
    <row r="108" spans="1:204" ht="20.25" customHeight="1">
      <c r="A108" s="176" t="s">
        <v>472</v>
      </c>
      <c r="B108" s="179">
        <v>2652</v>
      </c>
      <c r="C108" s="178">
        <v>2666</v>
      </c>
      <c r="D108" s="179">
        <f t="shared" si="2"/>
        <v>14</v>
      </c>
      <c r="E108" s="180">
        <f t="shared" si="3"/>
        <v>0.5279034690799397</v>
      </c>
      <c r="F108" s="181">
        <v>2666</v>
      </c>
      <c r="GV108" s="172"/>
    </row>
    <row r="109" spans="1:204" ht="20.25" customHeight="1">
      <c r="A109" s="176" t="s">
        <v>473</v>
      </c>
      <c r="B109" s="179">
        <v>655</v>
      </c>
      <c r="C109" s="178">
        <v>416</v>
      </c>
      <c r="D109" s="179">
        <f t="shared" si="2"/>
        <v>-239</v>
      </c>
      <c r="E109" s="180"/>
      <c r="F109" s="181">
        <f>698+416</f>
        <v>1114</v>
      </c>
      <c r="GV109" s="172"/>
    </row>
    <row r="110" spans="1:204" ht="20.25" customHeight="1">
      <c r="A110" s="176" t="s">
        <v>75</v>
      </c>
      <c r="B110" s="177">
        <v>276</v>
      </c>
      <c r="C110" s="178">
        <v>276</v>
      </c>
      <c r="D110" s="179">
        <f t="shared" si="2"/>
        <v>0</v>
      </c>
      <c r="E110" s="180">
        <f t="shared" si="3"/>
        <v>0</v>
      </c>
      <c r="F110" s="181">
        <v>276</v>
      </c>
      <c r="GV110" s="172"/>
    </row>
    <row r="111" spans="1:204" ht="20.25" customHeight="1">
      <c r="A111" s="176" t="s">
        <v>474</v>
      </c>
      <c r="B111" s="177"/>
      <c r="C111" s="178"/>
      <c r="D111" s="179"/>
      <c r="E111" s="180"/>
      <c r="F111" s="181"/>
      <c r="GV111" s="172"/>
    </row>
    <row r="112" spans="1:204" ht="20.25" customHeight="1">
      <c r="A112" s="176" t="s">
        <v>76</v>
      </c>
      <c r="B112" s="177">
        <v>22</v>
      </c>
      <c r="C112" s="178">
        <v>86</v>
      </c>
      <c r="D112" s="179">
        <f t="shared" si="2"/>
        <v>64</v>
      </c>
      <c r="E112" s="180">
        <f t="shared" si="3"/>
        <v>290.90909090909093</v>
      </c>
      <c r="F112" s="181">
        <v>86</v>
      </c>
      <c r="GV112" s="172"/>
    </row>
    <row r="113" spans="1:204" ht="20.25" customHeight="1">
      <c r="A113" s="176" t="s">
        <v>475</v>
      </c>
      <c r="B113" s="177"/>
      <c r="C113" s="178"/>
      <c r="D113" s="179">
        <f t="shared" si="2"/>
        <v>0</v>
      </c>
      <c r="E113" s="180"/>
      <c r="F113" s="181"/>
      <c r="GV113" s="172"/>
    </row>
    <row r="114" spans="1:204" ht="20.25" customHeight="1">
      <c r="A114" s="176" t="s">
        <v>476</v>
      </c>
      <c r="B114" s="177">
        <v>10</v>
      </c>
      <c r="C114" s="178"/>
      <c r="D114" s="179">
        <f t="shared" si="2"/>
        <v>-10</v>
      </c>
      <c r="E114" s="180">
        <f t="shared" si="3"/>
        <v>-100</v>
      </c>
      <c r="F114" s="181"/>
      <c r="GV114" s="172"/>
    </row>
    <row r="115" spans="1:204" ht="20.25" customHeight="1">
      <c r="A115" s="176" t="s">
        <v>77</v>
      </c>
      <c r="B115" s="177">
        <v>7</v>
      </c>
      <c r="C115" s="178">
        <v>10</v>
      </c>
      <c r="D115" s="179">
        <f t="shared" si="2"/>
        <v>3</v>
      </c>
      <c r="E115" s="180">
        <f t="shared" si="3"/>
        <v>42.857142857142854</v>
      </c>
      <c r="F115" s="181">
        <v>10</v>
      </c>
      <c r="GV115" s="172"/>
    </row>
    <row r="116" spans="1:204" ht="20.25" customHeight="1">
      <c r="A116" s="176" t="s">
        <v>78</v>
      </c>
      <c r="B116" s="177">
        <v>95</v>
      </c>
      <c r="C116" s="178">
        <v>95</v>
      </c>
      <c r="D116" s="179">
        <f t="shared" si="2"/>
        <v>0</v>
      </c>
      <c r="E116" s="180">
        <f t="shared" si="3"/>
        <v>0</v>
      </c>
      <c r="F116" s="181">
        <v>95</v>
      </c>
      <c r="GV116" s="172"/>
    </row>
    <row r="117" spans="1:204" ht="20.25" customHeight="1">
      <c r="A117" s="173" t="s">
        <v>79</v>
      </c>
      <c r="B117" s="174">
        <f>SUM(B118:B119)</f>
        <v>919</v>
      </c>
      <c r="C117" s="174">
        <f>SUM(C118:C119)</f>
        <v>0</v>
      </c>
      <c r="D117" s="168">
        <f t="shared" si="2"/>
        <v>-919</v>
      </c>
      <c r="E117" s="169">
        <f t="shared" si="3"/>
        <v>-100</v>
      </c>
      <c r="F117" s="175">
        <f>SUM(F118:F119)</f>
        <v>0</v>
      </c>
      <c r="GV117" s="172"/>
    </row>
    <row r="118" spans="1:204" ht="20.25" customHeight="1">
      <c r="A118" s="176" t="s">
        <v>477</v>
      </c>
      <c r="B118" s="177">
        <v>509</v>
      </c>
      <c r="C118" s="178"/>
      <c r="D118" s="179">
        <f t="shared" si="2"/>
        <v>-509</v>
      </c>
      <c r="E118" s="180">
        <f t="shared" si="3"/>
        <v>-100</v>
      </c>
      <c r="F118" s="181"/>
      <c r="GV118" s="172"/>
    </row>
    <row r="119" spans="1:204" ht="20.25" customHeight="1">
      <c r="A119" s="176" t="s">
        <v>478</v>
      </c>
      <c r="B119" s="177">
        <v>410</v>
      </c>
      <c r="C119" s="178"/>
      <c r="D119" s="179">
        <f t="shared" si="2"/>
        <v>-410</v>
      </c>
      <c r="E119" s="180">
        <f t="shared" si="3"/>
        <v>-100</v>
      </c>
      <c r="F119" s="181"/>
      <c r="GV119" s="172"/>
    </row>
    <row r="120" spans="1:204" ht="20.25" customHeight="1">
      <c r="A120" s="173" t="s">
        <v>80</v>
      </c>
      <c r="B120" s="174">
        <f>SUM(B121:B122)</f>
        <v>955</v>
      </c>
      <c r="C120" s="174">
        <f>SUM(C121:C122)</f>
        <v>0</v>
      </c>
      <c r="D120" s="168">
        <f t="shared" si="2"/>
        <v>-955</v>
      </c>
      <c r="E120" s="169">
        <f t="shared" si="3"/>
        <v>-100</v>
      </c>
      <c r="F120" s="175">
        <f>SUM(F121:F122)</f>
        <v>0</v>
      </c>
      <c r="GV120" s="172"/>
    </row>
    <row r="121" spans="1:204" ht="20.25" customHeight="1">
      <c r="A121" s="176" t="s">
        <v>479</v>
      </c>
      <c r="B121" s="177">
        <f>609+57</f>
        <v>666</v>
      </c>
      <c r="C121" s="178"/>
      <c r="D121" s="179">
        <f t="shared" si="2"/>
        <v>-666</v>
      </c>
      <c r="E121" s="180">
        <f t="shared" si="3"/>
        <v>-100</v>
      </c>
      <c r="F121" s="181"/>
      <c r="GV121" s="172"/>
    </row>
    <row r="122" spans="1:204" ht="20.25" customHeight="1">
      <c r="A122" s="176" t="s">
        <v>480</v>
      </c>
      <c r="B122" s="177">
        <v>289</v>
      </c>
      <c r="C122" s="178"/>
      <c r="D122" s="179">
        <f t="shared" si="2"/>
        <v>-289</v>
      </c>
      <c r="E122" s="180">
        <f t="shared" si="3"/>
        <v>-100</v>
      </c>
      <c r="F122" s="181"/>
      <c r="GV122" s="172"/>
    </row>
    <row r="123" spans="1:204" ht="20.25" customHeight="1">
      <c r="A123" s="173" t="s">
        <v>81</v>
      </c>
      <c r="B123" s="174">
        <f>SUM(B124:B129)</f>
        <v>566</v>
      </c>
      <c r="C123" s="174">
        <f>SUM(C124:C129)</f>
        <v>381</v>
      </c>
      <c r="D123" s="168">
        <f t="shared" si="2"/>
        <v>-185</v>
      </c>
      <c r="E123" s="169">
        <f t="shared" si="3"/>
        <v>-32.685512367491164</v>
      </c>
      <c r="F123" s="175">
        <f>SUM(F124:F129)</f>
        <v>411</v>
      </c>
      <c r="GV123" s="172"/>
    </row>
    <row r="124" spans="1:204" ht="20.25" customHeight="1">
      <c r="A124" s="176" t="s">
        <v>481</v>
      </c>
      <c r="B124" s="177">
        <v>363</v>
      </c>
      <c r="C124" s="178">
        <v>335</v>
      </c>
      <c r="D124" s="179">
        <f t="shared" si="2"/>
        <v>-28</v>
      </c>
      <c r="E124" s="180">
        <f t="shared" si="3"/>
        <v>-7.7134986225895315</v>
      </c>
      <c r="F124" s="181">
        <v>335</v>
      </c>
      <c r="GV124" s="172"/>
    </row>
    <row r="125" spans="1:204" ht="20.25" customHeight="1">
      <c r="A125" s="176" t="s">
        <v>482</v>
      </c>
      <c r="B125" s="177">
        <v>121</v>
      </c>
      <c r="C125" s="178">
        <v>16</v>
      </c>
      <c r="D125" s="179">
        <f t="shared" si="2"/>
        <v>-105</v>
      </c>
      <c r="E125" s="180">
        <f t="shared" si="3"/>
        <v>-86.77685950413223</v>
      </c>
      <c r="F125" s="181">
        <f>30+16</f>
        <v>46</v>
      </c>
      <c r="GV125" s="172"/>
    </row>
    <row r="126" spans="1:204" ht="20.25" customHeight="1">
      <c r="A126" s="176" t="s">
        <v>82</v>
      </c>
      <c r="B126" s="177">
        <v>5</v>
      </c>
      <c r="C126" s="178"/>
      <c r="D126" s="179">
        <f t="shared" si="2"/>
        <v>-5</v>
      </c>
      <c r="E126" s="180">
        <f t="shared" si="3"/>
        <v>-100</v>
      </c>
      <c r="F126" s="181"/>
      <c r="GV126" s="172"/>
    </row>
    <row r="127" spans="1:204" ht="20.25" customHeight="1">
      <c r="A127" s="176" t="s">
        <v>483</v>
      </c>
      <c r="B127" s="177">
        <v>43</v>
      </c>
      <c r="C127" s="178">
        <v>3</v>
      </c>
      <c r="D127" s="179">
        <f t="shared" si="2"/>
        <v>-40</v>
      </c>
      <c r="E127" s="180">
        <f t="shared" si="3"/>
        <v>-93.02325581395348</v>
      </c>
      <c r="F127" s="181">
        <v>3</v>
      </c>
      <c r="GV127" s="172"/>
    </row>
    <row r="128" spans="1:204" ht="20.25" customHeight="1">
      <c r="A128" s="176" t="s">
        <v>83</v>
      </c>
      <c r="B128" s="177">
        <v>5</v>
      </c>
      <c r="C128" s="178"/>
      <c r="D128" s="179">
        <f t="shared" si="2"/>
        <v>-5</v>
      </c>
      <c r="E128" s="180">
        <f t="shared" si="3"/>
        <v>-100</v>
      </c>
      <c r="F128" s="181"/>
      <c r="GV128" s="172"/>
    </row>
    <row r="129" spans="1:204" ht="20.25" customHeight="1">
      <c r="A129" s="176" t="s">
        <v>484</v>
      </c>
      <c r="B129" s="177">
        <v>29</v>
      </c>
      <c r="C129" s="178">
        <v>27</v>
      </c>
      <c r="D129" s="179">
        <f t="shared" si="2"/>
        <v>-2</v>
      </c>
      <c r="E129" s="180">
        <f t="shared" si="3"/>
        <v>-6.896551724137931</v>
      </c>
      <c r="F129" s="181">
        <v>27</v>
      </c>
      <c r="GV129" s="172"/>
    </row>
    <row r="130" spans="1:204" ht="20.25" customHeight="1">
      <c r="A130" s="173" t="s">
        <v>485</v>
      </c>
      <c r="B130" s="168">
        <f>B131+B133+B139+B141+B143+B146+B148</f>
        <v>22766</v>
      </c>
      <c r="C130" s="168">
        <f>C131+C133+C139+C141+C143+C146</f>
        <v>19750</v>
      </c>
      <c r="D130" s="168">
        <f t="shared" si="2"/>
        <v>-3016</v>
      </c>
      <c r="E130" s="169">
        <f t="shared" si="3"/>
        <v>-13.247825704998684</v>
      </c>
      <c r="F130" s="170">
        <f>F131+F133+F139+F141+F143+F146+F148</f>
        <v>21991</v>
      </c>
      <c r="GV130" s="172"/>
    </row>
    <row r="131" spans="1:204" ht="20.25" customHeight="1">
      <c r="A131" s="173" t="s">
        <v>486</v>
      </c>
      <c r="B131" s="174">
        <f>B132</f>
        <v>97</v>
      </c>
      <c r="C131" s="174">
        <f>C132</f>
        <v>102</v>
      </c>
      <c r="D131" s="168">
        <f t="shared" si="2"/>
        <v>5</v>
      </c>
      <c r="E131" s="169">
        <f t="shared" si="3"/>
        <v>5.154639175257731</v>
      </c>
      <c r="F131" s="175">
        <f>F132</f>
        <v>102</v>
      </c>
      <c r="GV131" s="172"/>
    </row>
    <row r="132" spans="1:204" ht="20.25" customHeight="1">
      <c r="A132" s="176" t="s">
        <v>487</v>
      </c>
      <c r="B132" s="177">
        <v>97</v>
      </c>
      <c r="C132" s="178">
        <v>102</v>
      </c>
      <c r="D132" s="179">
        <f t="shared" si="2"/>
        <v>5</v>
      </c>
      <c r="E132" s="180">
        <f t="shared" si="3"/>
        <v>5.154639175257731</v>
      </c>
      <c r="F132" s="181">
        <v>102</v>
      </c>
      <c r="GV132" s="172"/>
    </row>
    <row r="133" spans="1:204" ht="20.25" customHeight="1">
      <c r="A133" s="173" t="s">
        <v>84</v>
      </c>
      <c r="B133" s="168">
        <f>SUM(B134:B138)</f>
        <v>20822</v>
      </c>
      <c r="C133" s="168">
        <f>SUM(C134:C138)</f>
        <v>17742</v>
      </c>
      <c r="D133" s="168">
        <f t="shared" si="2"/>
        <v>-3080</v>
      </c>
      <c r="E133" s="169">
        <f t="shared" si="3"/>
        <v>-14.792046873499185</v>
      </c>
      <c r="F133" s="170">
        <f>SUM(F134:F138)</f>
        <v>19912</v>
      </c>
      <c r="GV133" s="172"/>
    </row>
    <row r="134" spans="1:204" ht="20.25" customHeight="1">
      <c r="A134" s="176" t="s">
        <v>488</v>
      </c>
      <c r="B134" s="177">
        <v>809</v>
      </c>
      <c r="C134" s="178">
        <v>374</v>
      </c>
      <c r="D134" s="179">
        <f t="shared" si="2"/>
        <v>-435</v>
      </c>
      <c r="E134" s="180">
        <f t="shared" si="3"/>
        <v>-53.77008652657602</v>
      </c>
      <c r="F134" s="181">
        <f>37+374</f>
        <v>411</v>
      </c>
      <c r="GV134" s="172"/>
    </row>
    <row r="135" spans="1:204" ht="20.25" customHeight="1">
      <c r="A135" s="176" t="s">
        <v>85</v>
      </c>
      <c r="B135" s="179">
        <v>8804</v>
      </c>
      <c r="C135" s="178">
        <v>8551</v>
      </c>
      <c r="D135" s="179">
        <f t="shared" si="2"/>
        <v>-253</v>
      </c>
      <c r="E135" s="180">
        <f t="shared" si="3"/>
        <v>-2.873693775556565</v>
      </c>
      <c r="F135" s="181">
        <v>8551</v>
      </c>
      <c r="GV135" s="172"/>
    </row>
    <row r="136" spans="1:204" ht="20.25" customHeight="1">
      <c r="A136" s="176" t="s">
        <v>86</v>
      </c>
      <c r="B136" s="179">
        <v>7034</v>
      </c>
      <c r="C136" s="178">
        <v>5924</v>
      </c>
      <c r="D136" s="179">
        <f t="shared" si="2"/>
        <v>-1110</v>
      </c>
      <c r="E136" s="180">
        <f t="shared" si="3"/>
        <v>-15.780494739835088</v>
      </c>
      <c r="F136" s="181">
        <v>5924</v>
      </c>
      <c r="GV136" s="172"/>
    </row>
    <row r="137" spans="1:204" ht="20.25" customHeight="1">
      <c r="A137" s="176" t="s">
        <v>87</v>
      </c>
      <c r="B137" s="179">
        <v>3139</v>
      </c>
      <c r="C137" s="178">
        <v>2671</v>
      </c>
      <c r="D137" s="179">
        <f t="shared" si="2"/>
        <v>-468</v>
      </c>
      <c r="E137" s="180">
        <f t="shared" si="3"/>
        <v>-14.90920675374323</v>
      </c>
      <c r="F137" s="181">
        <v>2671</v>
      </c>
      <c r="GV137" s="172"/>
    </row>
    <row r="138" spans="1:204" ht="20.25" customHeight="1">
      <c r="A138" s="176" t="s">
        <v>88</v>
      </c>
      <c r="B138" s="179">
        <v>1036</v>
      </c>
      <c r="C138" s="178">
        <v>222</v>
      </c>
      <c r="D138" s="179">
        <f t="shared" si="2"/>
        <v>-814</v>
      </c>
      <c r="E138" s="180">
        <f t="shared" si="3"/>
        <v>-78.57142857142857</v>
      </c>
      <c r="F138" s="181">
        <f>2133+222</f>
        <v>2355</v>
      </c>
      <c r="GV138" s="172"/>
    </row>
    <row r="139" spans="1:204" ht="20.25" customHeight="1">
      <c r="A139" s="173" t="s">
        <v>89</v>
      </c>
      <c r="B139" s="168">
        <f>B140</f>
        <v>654</v>
      </c>
      <c r="C139" s="168">
        <f>C140</f>
        <v>558</v>
      </c>
      <c r="D139" s="168">
        <f t="shared" si="2"/>
        <v>-96</v>
      </c>
      <c r="E139" s="169">
        <f t="shared" si="3"/>
        <v>-14.678899082568808</v>
      </c>
      <c r="F139" s="170">
        <f>F140</f>
        <v>558</v>
      </c>
      <c r="GV139" s="172"/>
    </row>
    <row r="140" spans="1:204" ht="20.25" customHeight="1">
      <c r="A140" s="176" t="s">
        <v>489</v>
      </c>
      <c r="B140" s="179">
        <v>654</v>
      </c>
      <c r="C140" s="178">
        <v>558</v>
      </c>
      <c r="D140" s="179">
        <f t="shared" si="2"/>
        <v>-96</v>
      </c>
      <c r="E140" s="180">
        <f t="shared" si="3"/>
        <v>-14.678899082568808</v>
      </c>
      <c r="F140" s="181">
        <v>558</v>
      </c>
      <c r="GV140" s="172"/>
    </row>
    <row r="141" spans="1:204" ht="20.25" customHeight="1">
      <c r="A141" s="173" t="s">
        <v>90</v>
      </c>
      <c r="B141" s="168">
        <f>B142</f>
        <v>114</v>
      </c>
      <c r="C141" s="168">
        <f>C142</f>
        <v>87</v>
      </c>
      <c r="D141" s="168">
        <f t="shared" si="2"/>
        <v>-27</v>
      </c>
      <c r="E141" s="169">
        <f t="shared" si="3"/>
        <v>-23.684210526315788</v>
      </c>
      <c r="F141" s="170">
        <f>F142</f>
        <v>87</v>
      </c>
      <c r="GV141" s="172"/>
    </row>
    <row r="142" spans="1:204" ht="20.25" customHeight="1">
      <c r="A142" s="176" t="s">
        <v>490</v>
      </c>
      <c r="B142" s="179">
        <v>114</v>
      </c>
      <c r="C142" s="178">
        <v>87</v>
      </c>
      <c r="D142" s="179">
        <f t="shared" si="2"/>
        <v>-27</v>
      </c>
      <c r="E142" s="180">
        <f t="shared" si="3"/>
        <v>-23.684210526315788</v>
      </c>
      <c r="F142" s="181">
        <v>87</v>
      </c>
      <c r="GV142" s="172"/>
    </row>
    <row r="143" spans="1:204" ht="20.25" customHeight="1">
      <c r="A143" s="173" t="s">
        <v>91</v>
      </c>
      <c r="B143" s="168">
        <f>SUM(B144:B145)</f>
        <v>535</v>
      </c>
      <c r="C143" s="168">
        <f>SUM(C144:C145)</f>
        <v>418</v>
      </c>
      <c r="D143" s="168">
        <f t="shared" si="2"/>
        <v>-117</v>
      </c>
      <c r="E143" s="169">
        <f t="shared" si="3"/>
        <v>-21.869158878504674</v>
      </c>
      <c r="F143" s="170">
        <f>SUM(F144:F145)</f>
        <v>418</v>
      </c>
      <c r="GV143" s="172"/>
    </row>
    <row r="144" spans="1:204" ht="20.25" customHeight="1">
      <c r="A144" s="176" t="s">
        <v>491</v>
      </c>
      <c r="B144" s="179">
        <v>436</v>
      </c>
      <c r="C144" s="178">
        <v>372</v>
      </c>
      <c r="D144" s="179">
        <f t="shared" si="2"/>
        <v>-64</v>
      </c>
      <c r="E144" s="180">
        <f t="shared" si="3"/>
        <v>-14.678899082568808</v>
      </c>
      <c r="F144" s="181">
        <v>372</v>
      </c>
      <c r="GV144" s="172"/>
    </row>
    <row r="145" spans="1:204" ht="20.25" customHeight="1">
      <c r="A145" s="176" t="s">
        <v>92</v>
      </c>
      <c r="B145" s="179">
        <v>99</v>
      </c>
      <c r="C145" s="178">
        <v>46</v>
      </c>
      <c r="D145" s="179">
        <f aca="true" t="shared" si="4" ref="D145:D218">C145-B145</f>
        <v>-53</v>
      </c>
      <c r="E145" s="180">
        <f aca="true" t="shared" si="5" ref="E145:E218">D145/B145*100</f>
        <v>-53.535353535353536</v>
      </c>
      <c r="F145" s="181">
        <v>46</v>
      </c>
      <c r="GV145" s="172"/>
    </row>
    <row r="146" spans="1:204" ht="20.25" customHeight="1">
      <c r="A146" s="173" t="s">
        <v>93</v>
      </c>
      <c r="B146" s="168">
        <f>B147</f>
        <v>544</v>
      </c>
      <c r="C146" s="168">
        <f>C147</f>
        <v>843</v>
      </c>
      <c r="D146" s="168">
        <f t="shared" si="4"/>
        <v>299</v>
      </c>
      <c r="E146" s="169">
        <f t="shared" si="5"/>
        <v>54.96323529411765</v>
      </c>
      <c r="F146" s="170">
        <f>F147</f>
        <v>843</v>
      </c>
      <c r="GV146" s="172"/>
    </row>
    <row r="147" spans="1:204" ht="20.25" customHeight="1">
      <c r="A147" s="176" t="s">
        <v>94</v>
      </c>
      <c r="B147" s="179">
        <v>544</v>
      </c>
      <c r="C147" s="178">
        <v>843</v>
      </c>
      <c r="D147" s="179">
        <f t="shared" si="4"/>
        <v>299</v>
      </c>
      <c r="E147" s="180">
        <f t="shared" si="5"/>
        <v>54.96323529411765</v>
      </c>
      <c r="F147" s="181">
        <v>843</v>
      </c>
      <c r="GV147" s="172"/>
    </row>
    <row r="148" spans="1:204" ht="20.25" customHeight="1">
      <c r="A148" s="173" t="s">
        <v>492</v>
      </c>
      <c r="B148" s="168"/>
      <c r="C148" s="183"/>
      <c r="D148" s="168"/>
      <c r="E148" s="169"/>
      <c r="F148" s="184">
        <f>F149</f>
        <v>71</v>
      </c>
      <c r="GV148" s="172"/>
    </row>
    <row r="149" spans="1:204" ht="20.25" customHeight="1">
      <c r="A149" s="176" t="s">
        <v>493</v>
      </c>
      <c r="B149" s="179"/>
      <c r="C149" s="178"/>
      <c r="D149" s="179"/>
      <c r="E149" s="180"/>
      <c r="F149" s="181">
        <v>71</v>
      </c>
      <c r="GV149" s="172"/>
    </row>
    <row r="150" spans="1:204" ht="20.25" customHeight="1">
      <c r="A150" s="173" t="s">
        <v>494</v>
      </c>
      <c r="B150" s="168">
        <f>B151+B154+B156</f>
        <v>242</v>
      </c>
      <c r="C150" s="168">
        <f>C151+C154+C156</f>
        <v>176</v>
      </c>
      <c r="D150" s="168">
        <f t="shared" si="4"/>
        <v>-66</v>
      </c>
      <c r="E150" s="169">
        <f t="shared" si="5"/>
        <v>-27.27272727272727</v>
      </c>
      <c r="F150" s="170">
        <f>F151+F154+F156</f>
        <v>189</v>
      </c>
      <c r="GV150" s="172"/>
    </row>
    <row r="151" spans="1:204" ht="20.25" customHeight="1">
      <c r="A151" s="173" t="s">
        <v>495</v>
      </c>
      <c r="B151" s="168">
        <f>SUM(B152:B153)</f>
        <v>63</v>
      </c>
      <c r="C151" s="168">
        <f>SUM(C152:C153)</f>
        <v>49</v>
      </c>
      <c r="D151" s="168">
        <f t="shared" si="4"/>
        <v>-14</v>
      </c>
      <c r="E151" s="169">
        <f t="shared" si="5"/>
        <v>-22.22222222222222</v>
      </c>
      <c r="F151" s="170">
        <f>SUM(F152:F153)</f>
        <v>49</v>
      </c>
      <c r="GV151" s="172"/>
    </row>
    <row r="152" spans="1:204" ht="20.25" customHeight="1">
      <c r="A152" s="176" t="s">
        <v>496</v>
      </c>
      <c r="B152" s="179">
        <v>55</v>
      </c>
      <c r="C152" s="178">
        <v>46</v>
      </c>
      <c r="D152" s="179">
        <f t="shared" si="4"/>
        <v>-9</v>
      </c>
      <c r="E152" s="180">
        <f t="shared" si="5"/>
        <v>-16.363636363636363</v>
      </c>
      <c r="F152" s="181">
        <v>46</v>
      </c>
      <c r="GV152" s="172"/>
    </row>
    <row r="153" spans="1:204" ht="20.25" customHeight="1">
      <c r="A153" s="176" t="s">
        <v>497</v>
      </c>
      <c r="B153" s="179">
        <v>8</v>
      </c>
      <c r="C153" s="178">
        <v>3</v>
      </c>
      <c r="D153" s="179">
        <f t="shared" si="4"/>
        <v>-5</v>
      </c>
      <c r="E153" s="180">
        <f t="shared" si="5"/>
        <v>-62.5</v>
      </c>
      <c r="F153" s="181">
        <v>3</v>
      </c>
      <c r="GV153" s="172"/>
    </row>
    <row r="154" spans="1:204" ht="20.25" customHeight="1">
      <c r="A154" s="173" t="s">
        <v>95</v>
      </c>
      <c r="B154" s="168">
        <f>B155</f>
        <v>172</v>
      </c>
      <c r="C154" s="168">
        <f>C155</f>
        <v>120</v>
      </c>
      <c r="D154" s="168">
        <f t="shared" si="4"/>
        <v>-52</v>
      </c>
      <c r="E154" s="169">
        <f t="shared" si="5"/>
        <v>-30.23255813953488</v>
      </c>
      <c r="F154" s="170">
        <f>F155</f>
        <v>120</v>
      </c>
      <c r="GV154" s="172"/>
    </row>
    <row r="155" spans="1:204" ht="20.25" customHeight="1">
      <c r="A155" s="176" t="s">
        <v>498</v>
      </c>
      <c r="B155" s="179">
        <v>172</v>
      </c>
      <c r="C155" s="178">
        <v>120</v>
      </c>
      <c r="D155" s="179">
        <f t="shared" si="4"/>
        <v>-52</v>
      </c>
      <c r="E155" s="180">
        <f t="shared" si="5"/>
        <v>-30.23255813953488</v>
      </c>
      <c r="F155" s="181">
        <v>120</v>
      </c>
      <c r="GV155" s="172"/>
    </row>
    <row r="156" spans="1:204" ht="20.25" customHeight="1">
      <c r="A156" s="173" t="s">
        <v>96</v>
      </c>
      <c r="B156" s="168">
        <f>SUM(B157:B157)</f>
        <v>7</v>
      </c>
      <c r="C156" s="168">
        <f>SUM(C157:C158)</f>
        <v>7</v>
      </c>
      <c r="D156" s="187">
        <f t="shared" si="4"/>
        <v>0</v>
      </c>
      <c r="E156" s="169">
        <f t="shared" si="5"/>
        <v>0</v>
      </c>
      <c r="F156" s="170">
        <f>SUM(F157:F158)</f>
        <v>20</v>
      </c>
      <c r="GV156" s="172"/>
    </row>
    <row r="157" spans="1:204" ht="20.25" customHeight="1">
      <c r="A157" s="176" t="s">
        <v>499</v>
      </c>
      <c r="B157" s="179">
        <v>7</v>
      </c>
      <c r="C157" s="178">
        <v>7</v>
      </c>
      <c r="D157" s="179">
        <f t="shared" si="4"/>
        <v>0</v>
      </c>
      <c r="E157" s="180">
        <f t="shared" si="5"/>
        <v>0</v>
      </c>
      <c r="F157" s="181">
        <v>7</v>
      </c>
      <c r="GV157" s="172"/>
    </row>
    <row r="158" spans="1:204" ht="20.25" customHeight="1">
      <c r="A158" s="176" t="s">
        <v>734</v>
      </c>
      <c r="B158" s="179"/>
      <c r="C158" s="178"/>
      <c r="D158" s="179">
        <f>C158-B158</f>
        <v>0</v>
      </c>
      <c r="E158" s="180"/>
      <c r="F158" s="181">
        <v>13</v>
      </c>
      <c r="GV158" s="172"/>
    </row>
    <row r="159" spans="1:204" ht="20.25" customHeight="1">
      <c r="A159" s="173" t="s">
        <v>500</v>
      </c>
      <c r="B159" s="168">
        <f>B160+B167+B171+B173+B177</f>
        <v>2838</v>
      </c>
      <c r="C159" s="168">
        <f>C160+C167+C171+C173+C177</f>
        <v>2026</v>
      </c>
      <c r="D159" s="168">
        <f t="shared" si="4"/>
        <v>-812</v>
      </c>
      <c r="E159" s="169">
        <f t="shared" si="5"/>
        <v>-28.611698379140236</v>
      </c>
      <c r="F159" s="170">
        <f>F160+F167+F171+F173+F177</f>
        <v>2239</v>
      </c>
      <c r="GV159" s="172"/>
    </row>
    <row r="160" spans="1:204" ht="20.25" customHeight="1">
      <c r="A160" s="173" t="s">
        <v>97</v>
      </c>
      <c r="B160" s="168">
        <f>SUM(B161:B166)</f>
        <v>548</v>
      </c>
      <c r="C160" s="168">
        <f>SUM(C161:C166)</f>
        <v>243</v>
      </c>
      <c r="D160" s="168">
        <f t="shared" si="4"/>
        <v>-305</v>
      </c>
      <c r="E160" s="169">
        <f t="shared" si="5"/>
        <v>-55.65693430656934</v>
      </c>
      <c r="F160" s="170">
        <f>SUM(F161:F166)</f>
        <v>271</v>
      </c>
      <c r="GV160" s="172"/>
    </row>
    <row r="161" spans="1:204" ht="20.25" customHeight="1">
      <c r="A161" s="176" t="s">
        <v>501</v>
      </c>
      <c r="B161" s="179">
        <v>88</v>
      </c>
      <c r="C161" s="178">
        <v>74</v>
      </c>
      <c r="D161" s="179">
        <f t="shared" si="4"/>
        <v>-14</v>
      </c>
      <c r="E161" s="180">
        <f t="shared" si="5"/>
        <v>-15.909090909090908</v>
      </c>
      <c r="F161" s="181">
        <v>74</v>
      </c>
      <c r="GV161" s="172"/>
    </row>
    <row r="162" spans="1:204" ht="20.25" customHeight="1">
      <c r="A162" s="176" t="s">
        <v>98</v>
      </c>
      <c r="B162" s="179">
        <v>52</v>
      </c>
      <c r="C162" s="178">
        <v>45</v>
      </c>
      <c r="D162" s="179">
        <f t="shared" si="4"/>
        <v>-7</v>
      </c>
      <c r="E162" s="180">
        <f t="shared" si="5"/>
        <v>-13.461538461538462</v>
      </c>
      <c r="F162" s="181">
        <v>45</v>
      </c>
      <c r="GV162" s="172"/>
    </row>
    <row r="163" spans="1:204" ht="20.25" customHeight="1">
      <c r="A163" s="176" t="s">
        <v>99</v>
      </c>
      <c r="B163" s="179">
        <v>92</v>
      </c>
      <c r="C163" s="178">
        <v>66</v>
      </c>
      <c r="D163" s="179">
        <f t="shared" si="4"/>
        <v>-26</v>
      </c>
      <c r="E163" s="180">
        <f t="shared" si="5"/>
        <v>-28.26086956521739</v>
      </c>
      <c r="F163" s="181">
        <v>66</v>
      </c>
      <c r="GV163" s="172"/>
    </row>
    <row r="164" spans="1:204" ht="20.25" customHeight="1">
      <c r="A164" s="176" t="s">
        <v>747</v>
      </c>
      <c r="B164" s="179"/>
      <c r="C164" s="178"/>
      <c r="D164" s="179"/>
      <c r="E164" s="180"/>
      <c r="F164" s="181">
        <v>5</v>
      </c>
      <c r="GV164" s="172"/>
    </row>
    <row r="165" spans="1:204" ht="20.25" customHeight="1">
      <c r="A165" s="176" t="s">
        <v>100</v>
      </c>
      <c r="B165" s="179">
        <v>39</v>
      </c>
      <c r="C165" s="178">
        <v>35</v>
      </c>
      <c r="D165" s="179">
        <f t="shared" si="4"/>
        <v>-4</v>
      </c>
      <c r="E165" s="180">
        <f t="shared" si="5"/>
        <v>-10.256410256410255</v>
      </c>
      <c r="F165" s="181">
        <v>35</v>
      </c>
      <c r="GV165" s="172"/>
    </row>
    <row r="166" spans="1:204" ht="20.25" customHeight="1">
      <c r="A166" s="176" t="s">
        <v>101</v>
      </c>
      <c r="B166" s="179">
        <v>277</v>
      </c>
      <c r="C166" s="178">
        <v>23</v>
      </c>
      <c r="D166" s="179">
        <f t="shared" si="4"/>
        <v>-254</v>
      </c>
      <c r="E166" s="180">
        <f t="shared" si="5"/>
        <v>-91.69675090252709</v>
      </c>
      <c r="F166" s="181">
        <f>23+23</f>
        <v>46</v>
      </c>
      <c r="GV166" s="172"/>
    </row>
    <row r="167" spans="1:204" ht="20.25" customHeight="1">
      <c r="A167" s="173" t="s">
        <v>102</v>
      </c>
      <c r="B167" s="168">
        <f>SUM(B168:B170)</f>
        <v>760</v>
      </c>
      <c r="C167" s="168">
        <f>SUM(C168:C170)</f>
        <v>629</v>
      </c>
      <c r="D167" s="168">
        <f t="shared" si="4"/>
        <v>-131</v>
      </c>
      <c r="E167" s="169">
        <f t="shared" si="5"/>
        <v>-17.236842105263158</v>
      </c>
      <c r="F167" s="170">
        <f>SUM(F168:F170)</f>
        <v>765</v>
      </c>
      <c r="GV167" s="172"/>
    </row>
    <row r="168" spans="1:204" ht="20.25" customHeight="1">
      <c r="A168" s="176" t="s">
        <v>502</v>
      </c>
      <c r="B168" s="179">
        <v>9</v>
      </c>
      <c r="C168" s="178"/>
      <c r="D168" s="179">
        <f t="shared" si="4"/>
        <v>-9</v>
      </c>
      <c r="E168" s="180">
        <f t="shared" si="5"/>
        <v>-100</v>
      </c>
      <c r="F168" s="181"/>
      <c r="GV168" s="172"/>
    </row>
    <row r="169" spans="1:204" ht="20.25" customHeight="1">
      <c r="A169" s="176" t="s">
        <v>503</v>
      </c>
      <c r="B169" s="179">
        <v>5</v>
      </c>
      <c r="C169" s="178">
        <v>5</v>
      </c>
      <c r="D169" s="179">
        <f t="shared" si="4"/>
        <v>0</v>
      </c>
      <c r="E169" s="180">
        <f t="shared" si="5"/>
        <v>0</v>
      </c>
      <c r="F169" s="181">
        <f>136+5</f>
        <v>141</v>
      </c>
      <c r="GV169" s="172"/>
    </row>
    <row r="170" spans="1:204" ht="20.25" customHeight="1">
      <c r="A170" s="176" t="s">
        <v>103</v>
      </c>
      <c r="B170" s="179">
        <v>746</v>
      </c>
      <c r="C170" s="178">
        <v>624</v>
      </c>
      <c r="D170" s="179">
        <f t="shared" si="4"/>
        <v>-122</v>
      </c>
      <c r="E170" s="180">
        <f t="shared" si="5"/>
        <v>-16.353887399463808</v>
      </c>
      <c r="F170" s="181">
        <v>624</v>
      </c>
      <c r="GV170" s="172"/>
    </row>
    <row r="171" spans="1:204" ht="20.25" customHeight="1">
      <c r="A171" s="173" t="s">
        <v>104</v>
      </c>
      <c r="B171" s="168">
        <f>B172</f>
        <v>8</v>
      </c>
      <c r="C171" s="168">
        <f>C172</f>
        <v>5</v>
      </c>
      <c r="D171" s="168">
        <f t="shared" si="4"/>
        <v>-3</v>
      </c>
      <c r="E171" s="169">
        <f t="shared" si="5"/>
        <v>-37.5</v>
      </c>
      <c r="F171" s="170">
        <f>F172</f>
        <v>5</v>
      </c>
      <c r="GV171" s="172"/>
    </row>
    <row r="172" spans="1:204" ht="20.25" customHeight="1">
      <c r="A172" s="176" t="s">
        <v>504</v>
      </c>
      <c r="B172" s="179">
        <v>8</v>
      </c>
      <c r="C172" s="178">
        <v>5</v>
      </c>
      <c r="D172" s="179">
        <f t="shared" si="4"/>
        <v>-3</v>
      </c>
      <c r="E172" s="180">
        <f t="shared" si="5"/>
        <v>-37.5</v>
      </c>
      <c r="F172" s="181">
        <v>5</v>
      </c>
      <c r="GV172" s="172"/>
    </row>
    <row r="173" spans="1:204" ht="20.25" customHeight="1">
      <c r="A173" s="173" t="s">
        <v>505</v>
      </c>
      <c r="B173" s="168">
        <f>SUM(B174:B175)</f>
        <v>1522</v>
      </c>
      <c r="C173" s="168">
        <f>SUM(C174:C175)</f>
        <v>1149</v>
      </c>
      <c r="D173" s="168">
        <f t="shared" si="4"/>
        <v>-373</v>
      </c>
      <c r="E173" s="169">
        <f t="shared" si="5"/>
        <v>-24.507227332457294</v>
      </c>
      <c r="F173" s="170">
        <f>SUM(F174:F176)</f>
        <v>1159</v>
      </c>
      <c r="GV173" s="172"/>
    </row>
    <row r="174" spans="1:204" ht="20.25" customHeight="1">
      <c r="A174" s="176" t="s">
        <v>506</v>
      </c>
      <c r="B174" s="179">
        <v>101</v>
      </c>
      <c r="C174" s="178">
        <v>78</v>
      </c>
      <c r="D174" s="179">
        <f t="shared" si="4"/>
        <v>-23</v>
      </c>
      <c r="E174" s="180">
        <f t="shared" si="5"/>
        <v>-22.772277227722775</v>
      </c>
      <c r="F174" s="181">
        <v>78</v>
      </c>
      <c r="GV174" s="172"/>
    </row>
    <row r="175" spans="1:204" ht="20.25" customHeight="1">
      <c r="A175" s="176" t="s">
        <v>507</v>
      </c>
      <c r="B175" s="179">
        <v>1421</v>
      </c>
      <c r="C175" s="178">
        <v>1071</v>
      </c>
      <c r="D175" s="179">
        <f t="shared" si="4"/>
        <v>-350</v>
      </c>
      <c r="E175" s="180">
        <f t="shared" si="5"/>
        <v>-24.63054187192118</v>
      </c>
      <c r="F175" s="181">
        <v>1071</v>
      </c>
      <c r="GV175" s="172"/>
    </row>
    <row r="176" spans="1:204" ht="20.25" customHeight="1">
      <c r="A176" s="176" t="s">
        <v>735</v>
      </c>
      <c r="B176" s="179"/>
      <c r="C176" s="178"/>
      <c r="D176" s="179">
        <f>C176-B176</f>
        <v>0</v>
      </c>
      <c r="E176" s="180"/>
      <c r="F176" s="181">
        <v>10</v>
      </c>
      <c r="GV176" s="172"/>
    </row>
    <row r="177" spans="1:204" ht="20.25" customHeight="1">
      <c r="A177" s="173" t="s">
        <v>508</v>
      </c>
      <c r="B177" s="183">
        <f>B178</f>
        <v>0</v>
      </c>
      <c r="C177" s="183">
        <f>C178</f>
        <v>0</v>
      </c>
      <c r="D177" s="187"/>
      <c r="E177" s="180"/>
      <c r="F177" s="184">
        <f>F178</f>
        <v>39</v>
      </c>
      <c r="GV177" s="172"/>
    </row>
    <row r="178" spans="1:204" ht="20.25" customHeight="1">
      <c r="A178" s="176" t="s">
        <v>509</v>
      </c>
      <c r="B178" s="179"/>
      <c r="C178" s="178"/>
      <c r="D178" s="179"/>
      <c r="E178" s="180"/>
      <c r="F178" s="181">
        <v>39</v>
      </c>
      <c r="GV178" s="172"/>
    </row>
    <row r="179" spans="1:204" ht="20.25" customHeight="1">
      <c r="A179" s="173" t="s">
        <v>510</v>
      </c>
      <c r="B179" s="168">
        <f>B180+B186+B194+B201+B203+B205+B212+B215+B220+B228+B231+B234+B237+B240+B243</f>
        <v>30434</v>
      </c>
      <c r="C179" s="168">
        <f>C180+C186+C243+C194+C201+C203+C205+C212+C215+C220+C228+C231+C234+C237+C240</f>
        <v>29121</v>
      </c>
      <c r="D179" s="168">
        <f t="shared" si="4"/>
        <v>-1313</v>
      </c>
      <c r="E179" s="169">
        <f t="shared" si="5"/>
        <v>-4.3142537950975886</v>
      </c>
      <c r="F179" s="170">
        <f>F180+F186+F243+F194+F201+F203+F205+F212+F215+F220+F228+F231+F234+F237+F240</f>
        <v>36873</v>
      </c>
      <c r="GV179" s="172"/>
    </row>
    <row r="180" spans="1:204" ht="20.25" customHeight="1">
      <c r="A180" s="173" t="s">
        <v>105</v>
      </c>
      <c r="B180" s="168">
        <f>SUM(B181:B185)</f>
        <v>677</v>
      </c>
      <c r="C180" s="168">
        <f>SUM(C181:C185)</f>
        <v>545</v>
      </c>
      <c r="D180" s="168">
        <f t="shared" si="4"/>
        <v>-132</v>
      </c>
      <c r="E180" s="169">
        <f t="shared" si="5"/>
        <v>-19.49778434268833</v>
      </c>
      <c r="F180" s="170">
        <f>SUM(F181:F185)</f>
        <v>545</v>
      </c>
      <c r="GV180" s="172"/>
    </row>
    <row r="181" spans="1:204" ht="20.25" customHeight="1">
      <c r="A181" s="176" t="s">
        <v>511</v>
      </c>
      <c r="B181" s="179">
        <v>131</v>
      </c>
      <c r="C181" s="178">
        <v>108</v>
      </c>
      <c r="D181" s="179">
        <f t="shared" si="4"/>
        <v>-23</v>
      </c>
      <c r="E181" s="180">
        <f t="shared" si="5"/>
        <v>-17.557251908396946</v>
      </c>
      <c r="F181" s="181">
        <v>108</v>
      </c>
      <c r="GV181" s="172"/>
    </row>
    <row r="182" spans="1:204" ht="20.25" customHeight="1">
      <c r="A182" s="176" t="s">
        <v>512</v>
      </c>
      <c r="B182" s="179">
        <v>313</v>
      </c>
      <c r="C182" s="178">
        <v>202</v>
      </c>
      <c r="D182" s="179">
        <f t="shared" si="4"/>
        <v>-111</v>
      </c>
      <c r="E182" s="180">
        <f t="shared" si="5"/>
        <v>-35.46325878594249</v>
      </c>
      <c r="F182" s="181">
        <v>202</v>
      </c>
      <c r="GV182" s="172"/>
    </row>
    <row r="183" spans="1:204" ht="20.25" customHeight="1">
      <c r="A183" s="176" t="s">
        <v>106</v>
      </c>
      <c r="B183" s="179">
        <v>7</v>
      </c>
      <c r="C183" s="178">
        <v>3</v>
      </c>
      <c r="D183" s="179">
        <f t="shared" si="4"/>
        <v>-4</v>
      </c>
      <c r="E183" s="180">
        <f t="shared" si="5"/>
        <v>-57.14285714285714</v>
      </c>
      <c r="F183" s="181">
        <v>3</v>
      </c>
      <c r="GV183" s="172"/>
    </row>
    <row r="184" spans="1:204" ht="20.25" customHeight="1">
      <c r="A184" s="176" t="s">
        <v>107</v>
      </c>
      <c r="B184" s="179">
        <v>137</v>
      </c>
      <c r="C184" s="178">
        <v>131</v>
      </c>
      <c r="D184" s="179">
        <f t="shared" si="4"/>
        <v>-6</v>
      </c>
      <c r="E184" s="180">
        <f t="shared" si="5"/>
        <v>-4.37956204379562</v>
      </c>
      <c r="F184" s="181">
        <v>131</v>
      </c>
      <c r="GV184" s="172"/>
    </row>
    <row r="185" spans="1:204" ht="20.25" customHeight="1">
      <c r="A185" s="176" t="s">
        <v>108</v>
      </c>
      <c r="B185" s="179">
        <v>89</v>
      </c>
      <c r="C185" s="178">
        <v>101</v>
      </c>
      <c r="D185" s="179">
        <f t="shared" si="4"/>
        <v>12</v>
      </c>
      <c r="E185" s="180">
        <f t="shared" si="5"/>
        <v>13.48314606741573</v>
      </c>
      <c r="F185" s="181">
        <v>101</v>
      </c>
      <c r="GV185" s="172"/>
    </row>
    <row r="186" spans="1:204" ht="20.25" customHeight="1">
      <c r="A186" s="173" t="s">
        <v>109</v>
      </c>
      <c r="B186" s="168">
        <f>SUM(B187:B193)</f>
        <v>400</v>
      </c>
      <c r="C186" s="168">
        <f>SUM(C187:C193)</f>
        <v>298</v>
      </c>
      <c r="D186" s="168">
        <f t="shared" si="4"/>
        <v>-102</v>
      </c>
      <c r="E186" s="169">
        <f t="shared" si="5"/>
        <v>-25.5</v>
      </c>
      <c r="F186" s="170">
        <f>SUM(F187:F193)</f>
        <v>298</v>
      </c>
      <c r="GV186" s="172"/>
    </row>
    <row r="187" spans="1:204" ht="20.25" customHeight="1">
      <c r="A187" s="176" t="s">
        <v>513</v>
      </c>
      <c r="B187" s="179">
        <v>117</v>
      </c>
      <c r="C187" s="178">
        <v>124</v>
      </c>
      <c r="D187" s="179">
        <f t="shared" si="4"/>
        <v>7</v>
      </c>
      <c r="E187" s="180">
        <f t="shared" si="5"/>
        <v>5.982905982905983</v>
      </c>
      <c r="F187" s="181">
        <v>124</v>
      </c>
      <c r="GV187" s="172"/>
    </row>
    <row r="188" spans="1:204" ht="20.25" customHeight="1">
      <c r="A188" s="185" t="s">
        <v>514</v>
      </c>
      <c r="B188" s="179">
        <v>59</v>
      </c>
      <c r="C188" s="178">
        <v>26</v>
      </c>
      <c r="D188" s="179">
        <f t="shared" si="4"/>
        <v>-33</v>
      </c>
      <c r="E188" s="180">
        <f t="shared" si="5"/>
        <v>-55.932203389830505</v>
      </c>
      <c r="F188" s="181">
        <v>26</v>
      </c>
      <c r="GV188" s="172"/>
    </row>
    <row r="189" spans="1:204" ht="20.25" customHeight="1">
      <c r="A189" s="176" t="s">
        <v>110</v>
      </c>
      <c r="B189" s="179">
        <v>22</v>
      </c>
      <c r="C189" s="178">
        <v>30</v>
      </c>
      <c r="D189" s="179">
        <f t="shared" si="4"/>
        <v>8</v>
      </c>
      <c r="E189" s="180">
        <f t="shared" si="5"/>
        <v>36.36363636363637</v>
      </c>
      <c r="F189" s="181">
        <v>30</v>
      </c>
      <c r="GV189" s="172"/>
    </row>
    <row r="190" spans="1:204" ht="20.25" customHeight="1">
      <c r="A190" s="176" t="s">
        <v>515</v>
      </c>
      <c r="B190" s="179">
        <v>39</v>
      </c>
      <c r="C190" s="178">
        <v>44</v>
      </c>
      <c r="D190" s="179">
        <f t="shared" si="4"/>
        <v>5</v>
      </c>
      <c r="E190" s="180">
        <f t="shared" si="5"/>
        <v>12.82051282051282</v>
      </c>
      <c r="F190" s="181">
        <v>44</v>
      </c>
      <c r="GV190" s="172"/>
    </row>
    <row r="191" spans="1:204" ht="20.25" customHeight="1">
      <c r="A191" s="176" t="s">
        <v>516</v>
      </c>
      <c r="B191" s="179">
        <v>10</v>
      </c>
      <c r="C191" s="178"/>
      <c r="D191" s="179">
        <f t="shared" si="4"/>
        <v>-10</v>
      </c>
      <c r="E191" s="180">
        <f t="shared" si="5"/>
        <v>-100</v>
      </c>
      <c r="F191" s="181"/>
      <c r="GV191" s="172"/>
    </row>
    <row r="192" spans="1:204" ht="20.25" customHeight="1">
      <c r="A192" s="176" t="s">
        <v>111</v>
      </c>
      <c r="B192" s="179">
        <v>44</v>
      </c>
      <c r="C192" s="178"/>
      <c r="D192" s="179">
        <f t="shared" si="4"/>
        <v>-44</v>
      </c>
      <c r="E192" s="180">
        <f t="shared" si="5"/>
        <v>-100</v>
      </c>
      <c r="F192" s="181"/>
      <c r="GV192" s="172"/>
    </row>
    <row r="193" spans="1:204" ht="20.25" customHeight="1">
      <c r="A193" s="176" t="s">
        <v>112</v>
      </c>
      <c r="B193" s="179">
        <v>109</v>
      </c>
      <c r="C193" s="178">
        <v>74</v>
      </c>
      <c r="D193" s="179">
        <f t="shared" si="4"/>
        <v>-35</v>
      </c>
      <c r="E193" s="180">
        <f t="shared" si="5"/>
        <v>-32.11009174311927</v>
      </c>
      <c r="F193" s="181">
        <v>74</v>
      </c>
      <c r="GV193" s="172"/>
    </row>
    <row r="194" spans="1:204" ht="20.25" customHeight="1">
      <c r="A194" s="173" t="s">
        <v>113</v>
      </c>
      <c r="B194" s="168">
        <f>SUM(B195:B200)</f>
        <v>17635</v>
      </c>
      <c r="C194" s="168">
        <f>SUM(C195:C200)</f>
        <v>20195</v>
      </c>
      <c r="D194" s="168">
        <f t="shared" si="4"/>
        <v>2560</v>
      </c>
      <c r="E194" s="169">
        <f t="shared" si="5"/>
        <v>14.516586333994896</v>
      </c>
      <c r="F194" s="170">
        <f>SUM(F195:F200)</f>
        <v>21044</v>
      </c>
      <c r="GV194" s="172"/>
    </row>
    <row r="195" spans="1:204" ht="20.25" customHeight="1">
      <c r="A195" s="176" t="s">
        <v>517</v>
      </c>
      <c r="B195" s="179">
        <v>4687</v>
      </c>
      <c r="C195" s="178">
        <v>358</v>
      </c>
      <c r="D195" s="179">
        <f t="shared" si="4"/>
        <v>-4329</v>
      </c>
      <c r="E195" s="180">
        <f t="shared" si="5"/>
        <v>-92.36185193087263</v>
      </c>
      <c r="F195" s="181">
        <v>358</v>
      </c>
      <c r="GV195" s="172"/>
    </row>
    <row r="196" spans="1:204" ht="20.25" customHeight="1">
      <c r="A196" s="176" t="s">
        <v>114</v>
      </c>
      <c r="B196" s="179">
        <v>11324</v>
      </c>
      <c r="C196" s="178">
        <v>456</v>
      </c>
      <c r="D196" s="179">
        <f t="shared" si="4"/>
        <v>-10868</v>
      </c>
      <c r="E196" s="180">
        <f t="shared" si="5"/>
        <v>-95.9731543624161</v>
      </c>
      <c r="F196" s="181">
        <v>456</v>
      </c>
      <c r="GV196" s="172"/>
    </row>
    <row r="197" spans="1:204" ht="20.25" customHeight="1">
      <c r="A197" s="176" t="s">
        <v>748</v>
      </c>
      <c r="B197" s="179"/>
      <c r="C197" s="178">
        <v>6433</v>
      </c>
      <c r="D197" s="179">
        <f t="shared" si="4"/>
        <v>6433</v>
      </c>
      <c r="E197" s="180"/>
      <c r="F197" s="181">
        <v>6433</v>
      </c>
      <c r="GV197" s="172"/>
    </row>
    <row r="198" spans="1:204" ht="20.25" customHeight="1">
      <c r="A198" s="176" t="s">
        <v>720</v>
      </c>
      <c r="B198" s="179"/>
      <c r="C198" s="178">
        <v>356</v>
      </c>
      <c r="D198" s="179">
        <f t="shared" si="4"/>
        <v>356</v>
      </c>
      <c r="E198" s="180"/>
      <c r="F198" s="181">
        <v>356</v>
      </c>
      <c r="GV198" s="172"/>
    </row>
    <row r="199" spans="1:204" ht="20.25" customHeight="1">
      <c r="A199" s="176" t="s">
        <v>721</v>
      </c>
      <c r="B199" s="179">
        <v>1618</v>
      </c>
      <c r="C199" s="178">
        <v>12586</v>
      </c>
      <c r="D199" s="179">
        <f t="shared" si="4"/>
        <v>10968</v>
      </c>
      <c r="E199" s="180">
        <f t="shared" si="5"/>
        <v>677.8739184177997</v>
      </c>
      <c r="F199" s="181">
        <f>849+12586</f>
        <v>13435</v>
      </c>
      <c r="GV199" s="172"/>
    </row>
    <row r="200" spans="1:204" ht="20.25" customHeight="1">
      <c r="A200" s="176" t="s">
        <v>115</v>
      </c>
      <c r="B200" s="179">
        <v>6</v>
      </c>
      <c r="C200" s="178">
        <v>6</v>
      </c>
      <c r="D200" s="179">
        <f t="shared" si="4"/>
        <v>0</v>
      </c>
      <c r="E200" s="180">
        <f t="shared" si="5"/>
        <v>0</v>
      </c>
      <c r="F200" s="181">
        <v>6</v>
      </c>
      <c r="GV200" s="172"/>
    </row>
    <row r="201" spans="1:204" ht="20.25" customHeight="1">
      <c r="A201" s="173" t="s">
        <v>116</v>
      </c>
      <c r="B201" s="168">
        <f>B202</f>
        <v>111</v>
      </c>
      <c r="C201" s="168">
        <f>C202</f>
        <v>447</v>
      </c>
      <c r="D201" s="168">
        <f t="shared" si="4"/>
        <v>336</v>
      </c>
      <c r="E201" s="169">
        <f t="shared" si="5"/>
        <v>302.7027027027027</v>
      </c>
      <c r="F201" s="170">
        <f>F202</f>
        <v>447</v>
      </c>
      <c r="GV201" s="172"/>
    </row>
    <row r="202" spans="1:204" ht="20.25" customHeight="1">
      <c r="A202" s="176" t="s">
        <v>518</v>
      </c>
      <c r="B202" s="179">
        <v>111</v>
      </c>
      <c r="C202" s="178">
        <v>447</v>
      </c>
      <c r="D202" s="179">
        <f t="shared" si="4"/>
        <v>336</v>
      </c>
      <c r="E202" s="180">
        <f t="shared" si="5"/>
        <v>302.7027027027027</v>
      </c>
      <c r="F202" s="181">
        <v>447</v>
      </c>
      <c r="GV202" s="172"/>
    </row>
    <row r="203" spans="1:204" ht="20.25" customHeight="1">
      <c r="A203" s="173" t="s">
        <v>117</v>
      </c>
      <c r="B203" s="168">
        <f>SUM(B204:B204)</f>
        <v>1050</v>
      </c>
      <c r="C203" s="168">
        <f>SUM(C204:C204)</f>
        <v>1050</v>
      </c>
      <c r="D203" s="168">
        <f t="shared" si="4"/>
        <v>0</v>
      </c>
      <c r="E203" s="169">
        <f t="shared" si="5"/>
        <v>0</v>
      </c>
      <c r="F203" s="170">
        <f>SUM(F204:F204)</f>
        <v>1050</v>
      </c>
      <c r="GV203" s="172"/>
    </row>
    <row r="204" spans="1:204" ht="20.25" customHeight="1">
      <c r="A204" s="176" t="s">
        <v>118</v>
      </c>
      <c r="B204" s="179">
        <v>1050</v>
      </c>
      <c r="C204" s="178">
        <v>1050</v>
      </c>
      <c r="D204" s="179">
        <f t="shared" si="4"/>
        <v>0</v>
      </c>
      <c r="E204" s="180">
        <f t="shared" si="5"/>
        <v>0</v>
      </c>
      <c r="F204" s="181">
        <v>1050</v>
      </c>
      <c r="GV204" s="172"/>
    </row>
    <row r="205" spans="1:204" ht="20.25" customHeight="1">
      <c r="A205" s="173" t="s">
        <v>119</v>
      </c>
      <c r="B205" s="168">
        <f>SUM(B206:B211)</f>
        <v>837</v>
      </c>
      <c r="C205" s="168">
        <f>SUM(C206:C211)</f>
        <v>756</v>
      </c>
      <c r="D205" s="168">
        <f t="shared" si="4"/>
        <v>-81</v>
      </c>
      <c r="E205" s="169">
        <f t="shared" si="5"/>
        <v>-9.67741935483871</v>
      </c>
      <c r="F205" s="170">
        <f>SUM(F206:F211)</f>
        <v>1229</v>
      </c>
      <c r="GV205" s="172"/>
    </row>
    <row r="206" spans="1:204" ht="20.25" customHeight="1">
      <c r="A206" s="176" t="s">
        <v>519</v>
      </c>
      <c r="B206" s="179"/>
      <c r="C206" s="178"/>
      <c r="D206" s="179">
        <f t="shared" si="4"/>
        <v>0</v>
      </c>
      <c r="E206" s="180"/>
      <c r="F206" s="181"/>
      <c r="GV206" s="172"/>
    </row>
    <row r="207" spans="1:204" ht="20.25" customHeight="1">
      <c r="A207" s="188" t="s">
        <v>520</v>
      </c>
      <c r="B207" s="179"/>
      <c r="C207" s="178"/>
      <c r="D207" s="179">
        <f t="shared" si="4"/>
        <v>0</v>
      </c>
      <c r="E207" s="180"/>
      <c r="F207" s="181"/>
      <c r="GV207" s="172"/>
    </row>
    <row r="208" spans="1:204" ht="20.25" customHeight="1">
      <c r="A208" s="176" t="s">
        <v>521</v>
      </c>
      <c r="B208" s="179">
        <v>515</v>
      </c>
      <c r="C208" s="178">
        <v>460</v>
      </c>
      <c r="D208" s="179">
        <f t="shared" si="4"/>
        <v>-55</v>
      </c>
      <c r="E208" s="180">
        <f t="shared" si="5"/>
        <v>-10.679611650485436</v>
      </c>
      <c r="F208" s="181">
        <v>460</v>
      </c>
      <c r="GV208" s="172"/>
    </row>
    <row r="209" spans="1:204" ht="20.25" customHeight="1">
      <c r="A209" s="176" t="s">
        <v>120</v>
      </c>
      <c r="B209" s="179">
        <v>236</v>
      </c>
      <c r="C209" s="178">
        <v>202</v>
      </c>
      <c r="D209" s="179">
        <f t="shared" si="4"/>
        <v>-34</v>
      </c>
      <c r="E209" s="180">
        <f t="shared" si="5"/>
        <v>-14.40677966101695</v>
      </c>
      <c r="F209" s="181">
        <v>202</v>
      </c>
      <c r="GV209" s="172"/>
    </row>
    <row r="210" spans="1:204" ht="20.25" customHeight="1">
      <c r="A210" s="185" t="s">
        <v>522</v>
      </c>
      <c r="B210" s="179">
        <v>86</v>
      </c>
      <c r="C210" s="178">
        <v>94</v>
      </c>
      <c r="D210" s="179">
        <f t="shared" si="4"/>
        <v>8</v>
      </c>
      <c r="E210" s="180">
        <f t="shared" si="5"/>
        <v>9.30232558139535</v>
      </c>
      <c r="F210" s="181">
        <v>94</v>
      </c>
      <c r="GV210" s="172"/>
    </row>
    <row r="211" spans="1:204" ht="20.25" customHeight="1">
      <c r="A211" s="176" t="s">
        <v>523</v>
      </c>
      <c r="B211" s="179"/>
      <c r="C211" s="178"/>
      <c r="D211" s="179">
        <f t="shared" si="4"/>
        <v>0</v>
      </c>
      <c r="E211" s="180"/>
      <c r="F211" s="181">
        <v>473</v>
      </c>
      <c r="GV211" s="172"/>
    </row>
    <row r="212" spans="1:204" ht="20.25" customHeight="1">
      <c r="A212" s="173" t="s">
        <v>121</v>
      </c>
      <c r="B212" s="168">
        <f>SUM(B213:B214)</f>
        <v>529</v>
      </c>
      <c r="C212" s="168">
        <f>SUM(C213:C214)</f>
        <v>558</v>
      </c>
      <c r="D212" s="168">
        <f t="shared" si="4"/>
        <v>29</v>
      </c>
      <c r="E212" s="169">
        <f t="shared" si="5"/>
        <v>5.482041587901701</v>
      </c>
      <c r="F212" s="170">
        <f>SUM(F213:F214)</f>
        <v>558</v>
      </c>
      <c r="GV212" s="172"/>
    </row>
    <row r="213" spans="1:204" ht="20.25" customHeight="1">
      <c r="A213" s="176" t="s">
        <v>524</v>
      </c>
      <c r="B213" s="179">
        <v>525</v>
      </c>
      <c r="C213" s="178">
        <v>555</v>
      </c>
      <c r="D213" s="179">
        <f t="shared" si="4"/>
        <v>30</v>
      </c>
      <c r="E213" s="180">
        <f t="shared" si="5"/>
        <v>5.714285714285714</v>
      </c>
      <c r="F213" s="181">
        <v>555</v>
      </c>
      <c r="GV213" s="172"/>
    </row>
    <row r="214" spans="1:204" ht="20.25" customHeight="1">
      <c r="A214" s="176" t="s">
        <v>122</v>
      </c>
      <c r="B214" s="179">
        <v>4</v>
      </c>
      <c r="C214" s="178">
        <v>3</v>
      </c>
      <c r="D214" s="179">
        <f t="shared" si="4"/>
        <v>-1</v>
      </c>
      <c r="E214" s="180">
        <f t="shared" si="5"/>
        <v>-25</v>
      </c>
      <c r="F214" s="181">
        <v>3</v>
      </c>
      <c r="GV214" s="172"/>
    </row>
    <row r="215" spans="1:204" ht="20.25" customHeight="1">
      <c r="A215" s="173" t="s">
        <v>123</v>
      </c>
      <c r="B215" s="168">
        <f>SUM(B216:B219)</f>
        <v>1761</v>
      </c>
      <c r="C215" s="168">
        <f>SUM(C216:C219)</f>
        <v>278</v>
      </c>
      <c r="D215" s="168">
        <f t="shared" si="4"/>
        <v>-1483</v>
      </c>
      <c r="E215" s="169">
        <f t="shared" si="5"/>
        <v>-84.21351504826802</v>
      </c>
      <c r="F215" s="170">
        <f>SUM(F216:F219)</f>
        <v>300</v>
      </c>
      <c r="GV215" s="172"/>
    </row>
    <row r="216" spans="1:204" ht="20.25" customHeight="1">
      <c r="A216" s="176" t="s">
        <v>525</v>
      </c>
      <c r="B216" s="179">
        <v>28</v>
      </c>
      <c r="C216" s="178">
        <v>27</v>
      </c>
      <c r="D216" s="179">
        <f t="shared" si="4"/>
        <v>-1</v>
      </c>
      <c r="E216" s="180">
        <f t="shared" si="5"/>
        <v>-3.571428571428571</v>
      </c>
      <c r="F216" s="181">
        <f>22+27</f>
        <v>49</v>
      </c>
      <c r="GV216" s="172"/>
    </row>
    <row r="217" spans="1:204" ht="20.25" customHeight="1">
      <c r="A217" s="176" t="s">
        <v>124</v>
      </c>
      <c r="B217" s="179">
        <v>1642</v>
      </c>
      <c r="C217" s="178">
        <v>165</v>
      </c>
      <c r="D217" s="179">
        <f t="shared" si="4"/>
        <v>-1477</v>
      </c>
      <c r="E217" s="180">
        <f t="shared" si="5"/>
        <v>-89.95127892813642</v>
      </c>
      <c r="F217" s="181">
        <v>165</v>
      </c>
      <c r="GV217" s="172"/>
    </row>
    <row r="218" spans="1:204" ht="20.25" customHeight="1">
      <c r="A218" s="176" t="s">
        <v>125</v>
      </c>
      <c r="B218" s="179">
        <v>69</v>
      </c>
      <c r="C218" s="178">
        <v>64</v>
      </c>
      <c r="D218" s="179">
        <f t="shared" si="4"/>
        <v>-5</v>
      </c>
      <c r="E218" s="180">
        <f t="shared" si="5"/>
        <v>-7.246376811594203</v>
      </c>
      <c r="F218" s="181">
        <v>64</v>
      </c>
      <c r="GV218" s="172"/>
    </row>
    <row r="219" spans="1:204" ht="20.25" customHeight="1">
      <c r="A219" s="176" t="s">
        <v>126</v>
      </c>
      <c r="B219" s="179">
        <v>22</v>
      </c>
      <c r="C219" s="178">
        <v>22</v>
      </c>
      <c r="D219" s="179">
        <f aca="true" t="shared" si="6" ref="D219:D306">C219-B219</f>
        <v>0</v>
      </c>
      <c r="E219" s="180">
        <f aca="true" t="shared" si="7" ref="E219:E306">D219/B219*100</f>
        <v>0</v>
      </c>
      <c r="F219" s="181">
        <v>22</v>
      </c>
      <c r="GV219" s="172"/>
    </row>
    <row r="220" spans="1:204" ht="20.25" customHeight="1">
      <c r="A220" s="173" t="s">
        <v>127</v>
      </c>
      <c r="B220" s="168">
        <f>SUM(B221:B225)</f>
        <v>25</v>
      </c>
      <c r="C220" s="168">
        <f>SUM(C221:C225)</f>
        <v>22</v>
      </c>
      <c r="D220" s="168">
        <f t="shared" si="6"/>
        <v>-3</v>
      </c>
      <c r="E220" s="169">
        <f t="shared" si="7"/>
        <v>-12</v>
      </c>
      <c r="F220" s="170">
        <f>SUM(F221:F225)</f>
        <v>54</v>
      </c>
      <c r="GV220" s="172"/>
    </row>
    <row r="221" spans="1:204" ht="20.25" customHeight="1">
      <c r="A221" s="176" t="s">
        <v>526</v>
      </c>
      <c r="B221" s="179">
        <v>23</v>
      </c>
      <c r="C221" s="178">
        <v>21</v>
      </c>
      <c r="D221" s="179">
        <f t="shared" si="6"/>
        <v>-2</v>
      </c>
      <c r="E221" s="180">
        <f t="shared" si="7"/>
        <v>-8.695652173913043</v>
      </c>
      <c r="F221" s="181">
        <v>21</v>
      </c>
      <c r="GV221" s="172"/>
    </row>
    <row r="222" spans="1:204" ht="20.25" customHeight="1">
      <c r="A222" s="176" t="s">
        <v>36</v>
      </c>
      <c r="B222" s="179"/>
      <c r="C222" s="178"/>
      <c r="D222" s="179">
        <f t="shared" si="6"/>
        <v>0</v>
      </c>
      <c r="E222" s="180"/>
      <c r="F222" s="181"/>
      <c r="GV222" s="172"/>
    </row>
    <row r="223" spans="1:204" ht="20.25" customHeight="1">
      <c r="A223" s="176" t="s">
        <v>128</v>
      </c>
      <c r="B223" s="179">
        <v>2</v>
      </c>
      <c r="C223" s="178">
        <v>1</v>
      </c>
      <c r="D223" s="179">
        <f t="shared" si="6"/>
        <v>-1</v>
      </c>
      <c r="E223" s="180">
        <f t="shared" si="7"/>
        <v>-50</v>
      </c>
      <c r="F223" s="181">
        <f>5+1</f>
        <v>6</v>
      </c>
      <c r="GV223" s="172"/>
    </row>
    <row r="224" spans="1:204" ht="20.25" customHeight="1">
      <c r="A224" s="176" t="s">
        <v>527</v>
      </c>
      <c r="B224" s="179"/>
      <c r="C224" s="178"/>
      <c r="D224" s="179"/>
      <c r="E224" s="180"/>
      <c r="F224" s="181">
        <v>15</v>
      </c>
      <c r="GV224" s="172"/>
    </row>
    <row r="225" spans="1:204" ht="20.25" customHeight="1">
      <c r="A225" s="189" t="s">
        <v>528</v>
      </c>
      <c r="B225" s="179"/>
      <c r="C225" s="178"/>
      <c r="D225" s="179">
        <f t="shared" si="6"/>
        <v>0</v>
      </c>
      <c r="E225" s="180"/>
      <c r="F225" s="181">
        <v>12</v>
      </c>
      <c r="GV225" s="172"/>
    </row>
    <row r="226" spans="1:204" ht="20.25" customHeight="1">
      <c r="A226" s="190" t="s">
        <v>529</v>
      </c>
      <c r="B226" s="168"/>
      <c r="C226" s="183"/>
      <c r="D226" s="168"/>
      <c r="E226" s="169"/>
      <c r="F226" s="184"/>
      <c r="GV226" s="172"/>
    </row>
    <row r="227" spans="1:204" ht="20.25" customHeight="1">
      <c r="A227" s="189" t="s">
        <v>530</v>
      </c>
      <c r="B227" s="179"/>
      <c r="C227" s="178"/>
      <c r="D227" s="179"/>
      <c r="E227" s="180"/>
      <c r="F227" s="181"/>
      <c r="GV227" s="172"/>
    </row>
    <row r="228" spans="1:204" ht="20.25" customHeight="1">
      <c r="A228" s="173" t="s">
        <v>129</v>
      </c>
      <c r="B228" s="168">
        <f>SUM(B229:B230)</f>
        <v>17</v>
      </c>
      <c r="C228" s="168">
        <f>SUM(C229:C230)</f>
        <v>12</v>
      </c>
      <c r="D228" s="168">
        <f t="shared" si="6"/>
        <v>-5</v>
      </c>
      <c r="E228" s="169">
        <f t="shared" si="7"/>
        <v>-29.411764705882355</v>
      </c>
      <c r="F228" s="170">
        <f>SUM(F229:F230)</f>
        <v>12</v>
      </c>
      <c r="GV228" s="172"/>
    </row>
    <row r="229" spans="1:204" ht="20.25" customHeight="1">
      <c r="A229" s="176" t="s">
        <v>531</v>
      </c>
      <c r="B229" s="179">
        <v>12</v>
      </c>
      <c r="C229" s="178">
        <v>12</v>
      </c>
      <c r="D229" s="179">
        <f t="shared" si="6"/>
        <v>0</v>
      </c>
      <c r="E229" s="180">
        <f t="shared" si="7"/>
        <v>0</v>
      </c>
      <c r="F229" s="181">
        <v>12</v>
      </c>
      <c r="GV229" s="172"/>
    </row>
    <row r="230" spans="1:204" ht="20.25" customHeight="1">
      <c r="A230" s="176" t="s">
        <v>36</v>
      </c>
      <c r="B230" s="179">
        <v>5</v>
      </c>
      <c r="C230" s="178"/>
      <c r="D230" s="179">
        <f t="shared" si="6"/>
        <v>-5</v>
      </c>
      <c r="E230" s="180">
        <f t="shared" si="7"/>
        <v>-100</v>
      </c>
      <c r="F230" s="181"/>
      <c r="GV230" s="172"/>
    </row>
    <row r="231" spans="1:204" ht="20.25" customHeight="1">
      <c r="A231" s="173" t="s">
        <v>532</v>
      </c>
      <c r="B231" s="168">
        <f>SUM(B232:B233)</f>
        <v>1098</v>
      </c>
      <c r="C231" s="168">
        <f>SUM(C232:C233)</f>
        <v>1057</v>
      </c>
      <c r="D231" s="168">
        <f t="shared" si="6"/>
        <v>-41</v>
      </c>
      <c r="E231" s="169">
        <f t="shared" si="7"/>
        <v>-3.7340619307832426</v>
      </c>
      <c r="F231" s="170">
        <f>SUM(F232:F233)</f>
        <v>3914</v>
      </c>
      <c r="GV231" s="172"/>
    </row>
    <row r="232" spans="1:204" ht="20.25" customHeight="1">
      <c r="A232" s="176" t="s">
        <v>533</v>
      </c>
      <c r="B232" s="179">
        <v>598</v>
      </c>
      <c r="C232" s="178">
        <v>557</v>
      </c>
      <c r="D232" s="179">
        <f t="shared" si="6"/>
        <v>-41</v>
      </c>
      <c r="E232" s="180">
        <f t="shared" si="7"/>
        <v>-6.856187290969899</v>
      </c>
      <c r="F232" s="181">
        <f>1500+557</f>
        <v>2057</v>
      </c>
      <c r="GV232" s="172"/>
    </row>
    <row r="233" spans="1:204" ht="20.25" customHeight="1">
      <c r="A233" s="176" t="s">
        <v>534</v>
      </c>
      <c r="B233" s="179">
        <v>500</v>
      </c>
      <c r="C233" s="178">
        <v>500</v>
      </c>
      <c r="D233" s="179">
        <f t="shared" si="6"/>
        <v>0</v>
      </c>
      <c r="E233" s="180">
        <f t="shared" si="7"/>
        <v>0</v>
      </c>
      <c r="F233" s="181">
        <f>1357+500</f>
        <v>1857</v>
      </c>
      <c r="GV233" s="172"/>
    </row>
    <row r="234" spans="1:204" ht="20.25" customHeight="1">
      <c r="A234" s="173" t="s">
        <v>130</v>
      </c>
      <c r="B234" s="168">
        <f>SUM(B235:B236)</f>
        <v>202</v>
      </c>
      <c r="C234" s="168">
        <f>SUM(C235:C236)</f>
        <v>174</v>
      </c>
      <c r="D234" s="168">
        <f t="shared" si="6"/>
        <v>-28</v>
      </c>
      <c r="E234" s="169">
        <f t="shared" si="7"/>
        <v>-13.861386138613863</v>
      </c>
      <c r="F234" s="170">
        <f>SUM(F235:F236)</f>
        <v>260</v>
      </c>
      <c r="GV234" s="172"/>
    </row>
    <row r="235" spans="1:204" ht="20.25" customHeight="1">
      <c r="A235" s="176" t="s">
        <v>535</v>
      </c>
      <c r="B235" s="179">
        <v>202</v>
      </c>
      <c r="C235" s="178">
        <v>174</v>
      </c>
      <c r="D235" s="179">
        <f t="shared" si="6"/>
        <v>-28</v>
      </c>
      <c r="E235" s="180">
        <f t="shared" si="7"/>
        <v>-13.861386138613863</v>
      </c>
      <c r="F235" s="181">
        <f>86+174</f>
        <v>260</v>
      </c>
      <c r="GV235" s="172"/>
    </row>
    <row r="236" spans="1:204" ht="20.25" customHeight="1">
      <c r="A236" s="189" t="s">
        <v>536</v>
      </c>
      <c r="B236" s="179"/>
      <c r="C236" s="178"/>
      <c r="D236" s="179">
        <f t="shared" si="6"/>
        <v>0</v>
      </c>
      <c r="E236" s="180"/>
      <c r="F236" s="181"/>
      <c r="GV236" s="172"/>
    </row>
    <row r="237" spans="1:204" ht="20.25" customHeight="1">
      <c r="A237" s="173" t="s">
        <v>537</v>
      </c>
      <c r="B237" s="168">
        <f>SUM(B238:B239)</f>
        <v>955</v>
      </c>
      <c r="C237" s="168">
        <f>SUM(C238:C239)</f>
        <v>692</v>
      </c>
      <c r="D237" s="168">
        <f t="shared" si="6"/>
        <v>-263</v>
      </c>
      <c r="E237" s="169">
        <f t="shared" si="7"/>
        <v>-27.53926701570681</v>
      </c>
      <c r="F237" s="170">
        <f>SUM(F238:F239)</f>
        <v>822</v>
      </c>
      <c r="GV237" s="172"/>
    </row>
    <row r="238" spans="1:204" ht="20.25" customHeight="1">
      <c r="A238" s="176" t="s">
        <v>538</v>
      </c>
      <c r="B238" s="179">
        <v>955</v>
      </c>
      <c r="C238" s="179">
        <v>692</v>
      </c>
      <c r="D238" s="179"/>
      <c r="E238" s="180">
        <f t="shared" si="7"/>
        <v>0</v>
      </c>
      <c r="F238" s="191">
        <f>130+692</f>
        <v>822</v>
      </c>
      <c r="GV238" s="172"/>
    </row>
    <row r="239" spans="1:204" ht="20.25" customHeight="1">
      <c r="A239" s="176" t="s">
        <v>539</v>
      </c>
      <c r="B239" s="179"/>
      <c r="C239" s="178"/>
      <c r="D239" s="179">
        <f t="shared" si="6"/>
        <v>0</v>
      </c>
      <c r="E239" s="180"/>
      <c r="F239" s="181"/>
      <c r="GV239" s="172"/>
    </row>
    <row r="240" spans="1:204" ht="20.25" customHeight="1">
      <c r="A240" s="173" t="s">
        <v>131</v>
      </c>
      <c r="B240" s="168">
        <f>SUM(B241:B242)</f>
        <v>699</v>
      </c>
      <c r="C240" s="168">
        <f>SUM(C241:C242)</f>
        <v>693</v>
      </c>
      <c r="D240" s="168">
        <f t="shared" si="6"/>
        <v>-6</v>
      </c>
      <c r="E240" s="169">
        <f t="shared" si="7"/>
        <v>-0.8583690987124464</v>
      </c>
      <c r="F240" s="170">
        <f>SUM(F241:F242)</f>
        <v>693</v>
      </c>
      <c r="GV240" s="172"/>
    </row>
    <row r="241" spans="1:204" ht="20.25" customHeight="1">
      <c r="A241" s="176" t="s">
        <v>722</v>
      </c>
      <c r="B241" s="179"/>
      <c r="C241" s="179">
        <v>6</v>
      </c>
      <c r="D241" s="179"/>
      <c r="E241" s="180"/>
      <c r="F241" s="191">
        <v>6</v>
      </c>
      <c r="GV241" s="172"/>
    </row>
    <row r="242" spans="1:204" ht="20.25" customHeight="1">
      <c r="A242" s="176" t="s">
        <v>540</v>
      </c>
      <c r="B242" s="179">
        <v>699</v>
      </c>
      <c r="C242" s="178">
        <v>687</v>
      </c>
      <c r="D242" s="179">
        <f t="shared" si="6"/>
        <v>-12</v>
      </c>
      <c r="E242" s="180">
        <f t="shared" si="7"/>
        <v>-1.7167381974248928</v>
      </c>
      <c r="F242" s="181">
        <v>687</v>
      </c>
      <c r="GV242" s="172"/>
    </row>
    <row r="243" spans="1:204" ht="20.25" customHeight="1">
      <c r="A243" s="173" t="s">
        <v>541</v>
      </c>
      <c r="B243" s="168">
        <f>SUM(B244:B245)</f>
        <v>4438</v>
      </c>
      <c r="C243" s="168">
        <f>SUM(C244:C245)</f>
        <v>2344</v>
      </c>
      <c r="D243" s="168">
        <f>C243-B243</f>
        <v>-2094</v>
      </c>
      <c r="E243" s="169">
        <f>D243/B243*100</f>
        <v>-47.18341595313204</v>
      </c>
      <c r="F243" s="170">
        <f>SUM(F244:F245)</f>
        <v>5647</v>
      </c>
      <c r="GV243" s="172"/>
    </row>
    <row r="244" spans="1:204" ht="20.25" customHeight="1">
      <c r="A244" s="176" t="s">
        <v>723</v>
      </c>
      <c r="B244" s="179"/>
      <c r="C244" s="179">
        <v>1571</v>
      </c>
      <c r="D244" s="179"/>
      <c r="E244" s="180"/>
      <c r="F244" s="191">
        <v>1571</v>
      </c>
      <c r="GV244" s="172"/>
    </row>
    <row r="245" spans="1:204" ht="20.25" customHeight="1">
      <c r="A245" s="176" t="s">
        <v>724</v>
      </c>
      <c r="B245" s="179">
        <v>4438</v>
      </c>
      <c r="C245" s="178">
        <v>773</v>
      </c>
      <c r="D245" s="179">
        <f>C245-B245</f>
        <v>-3665</v>
      </c>
      <c r="E245" s="180">
        <f>D245/B245*100</f>
        <v>-82.58224425416854</v>
      </c>
      <c r="F245" s="181">
        <f>3303+773</f>
        <v>4076</v>
      </c>
      <c r="GV245" s="172"/>
    </row>
    <row r="246" spans="1:204" ht="20.25" customHeight="1">
      <c r="A246" s="173" t="s">
        <v>542</v>
      </c>
      <c r="B246" s="168">
        <f>B247+B250+B254+B257+B264+B268+B272+B275+B279+B281</f>
        <v>11253</v>
      </c>
      <c r="C246" s="168">
        <f>C247+C250+C254+C257+C264+C268+C272+C275+C279+C281</f>
        <v>9466</v>
      </c>
      <c r="D246" s="168">
        <f t="shared" si="6"/>
        <v>-1787</v>
      </c>
      <c r="E246" s="169">
        <f t="shared" si="7"/>
        <v>-15.880209721851951</v>
      </c>
      <c r="F246" s="170">
        <f>F247+F250+F254+F257+F264+F268+F272+F275+F279+F281+F283</f>
        <v>15351</v>
      </c>
      <c r="GV246" s="172"/>
    </row>
    <row r="247" spans="1:204" ht="20.25" customHeight="1">
      <c r="A247" s="173" t="s">
        <v>543</v>
      </c>
      <c r="B247" s="168">
        <f>SUM(B248:B249)</f>
        <v>157</v>
      </c>
      <c r="C247" s="168">
        <f>SUM(C248:C249)</f>
        <v>133</v>
      </c>
      <c r="D247" s="168">
        <f t="shared" si="6"/>
        <v>-24</v>
      </c>
      <c r="E247" s="169">
        <f t="shared" si="7"/>
        <v>-15.286624203821656</v>
      </c>
      <c r="F247" s="170">
        <f>SUM(F248:F249)</f>
        <v>133</v>
      </c>
      <c r="GV247" s="172"/>
    </row>
    <row r="248" spans="1:204" ht="20.25" customHeight="1">
      <c r="A248" s="176" t="s">
        <v>544</v>
      </c>
      <c r="B248" s="179">
        <v>146</v>
      </c>
      <c r="C248" s="178">
        <v>127</v>
      </c>
      <c r="D248" s="179">
        <f t="shared" si="6"/>
        <v>-19</v>
      </c>
      <c r="E248" s="180">
        <f t="shared" si="7"/>
        <v>-13.013698630136986</v>
      </c>
      <c r="F248" s="181">
        <v>127</v>
      </c>
      <c r="GV248" s="172"/>
    </row>
    <row r="249" spans="1:204" ht="20.25" customHeight="1">
      <c r="A249" s="176" t="s">
        <v>545</v>
      </c>
      <c r="B249" s="179">
        <v>11</v>
      </c>
      <c r="C249" s="178">
        <v>6</v>
      </c>
      <c r="D249" s="179">
        <f t="shared" si="6"/>
        <v>-5</v>
      </c>
      <c r="E249" s="180">
        <f t="shared" si="7"/>
        <v>-45.45454545454545</v>
      </c>
      <c r="F249" s="181">
        <v>6</v>
      </c>
      <c r="GV249" s="172"/>
    </row>
    <row r="250" spans="1:204" ht="20.25" customHeight="1">
      <c r="A250" s="173" t="s">
        <v>132</v>
      </c>
      <c r="B250" s="168">
        <f>SUM(B251:B252)</f>
        <v>616</v>
      </c>
      <c r="C250" s="168">
        <f>SUM(C251:C253)</f>
        <v>526</v>
      </c>
      <c r="D250" s="168">
        <f t="shared" si="6"/>
        <v>-90</v>
      </c>
      <c r="E250" s="169">
        <f t="shared" si="7"/>
        <v>-14.61038961038961</v>
      </c>
      <c r="F250" s="170">
        <f>SUM(F251:F253)</f>
        <v>886</v>
      </c>
      <c r="GV250" s="172"/>
    </row>
    <row r="251" spans="1:204" ht="20.25" customHeight="1">
      <c r="A251" s="176" t="s">
        <v>546</v>
      </c>
      <c r="B251" s="179">
        <v>616</v>
      </c>
      <c r="C251" s="178">
        <v>526</v>
      </c>
      <c r="D251" s="179">
        <f t="shared" si="6"/>
        <v>-90</v>
      </c>
      <c r="E251" s="180">
        <f t="shared" si="7"/>
        <v>-14.61038961038961</v>
      </c>
      <c r="F251" s="181">
        <v>526</v>
      </c>
      <c r="GV251" s="172"/>
    </row>
    <row r="252" spans="1:204" ht="20.25" customHeight="1">
      <c r="A252" s="176" t="s">
        <v>133</v>
      </c>
      <c r="B252" s="179"/>
      <c r="C252" s="178"/>
      <c r="D252" s="179">
        <f t="shared" si="6"/>
        <v>0</v>
      </c>
      <c r="E252" s="180"/>
      <c r="F252" s="181"/>
      <c r="GV252" s="172"/>
    </row>
    <row r="253" spans="1:204" ht="20.25" customHeight="1">
      <c r="A253" s="176" t="s">
        <v>547</v>
      </c>
      <c r="B253" s="179"/>
      <c r="C253" s="178"/>
      <c r="D253" s="179">
        <f t="shared" si="6"/>
        <v>0</v>
      </c>
      <c r="E253" s="180"/>
      <c r="F253" s="181">
        <v>360</v>
      </c>
      <c r="GV253" s="172"/>
    </row>
    <row r="254" spans="1:204" ht="20.25" customHeight="1">
      <c r="A254" s="173" t="s">
        <v>134</v>
      </c>
      <c r="B254" s="168">
        <f>SUM(B255:B256)</f>
        <v>3023</v>
      </c>
      <c r="C254" s="168">
        <f>SUM(C255:C256)</f>
        <v>1342</v>
      </c>
      <c r="D254" s="168">
        <f t="shared" si="6"/>
        <v>-1681</v>
      </c>
      <c r="E254" s="169">
        <f t="shared" si="7"/>
        <v>-55.607012901091636</v>
      </c>
      <c r="F254" s="170">
        <f>SUM(F255:F256)</f>
        <v>1522</v>
      </c>
      <c r="GV254" s="172"/>
    </row>
    <row r="255" spans="1:204" ht="20.25" customHeight="1">
      <c r="A255" s="176" t="s">
        <v>548</v>
      </c>
      <c r="B255" s="179">
        <f>1551+129</f>
        <v>1680</v>
      </c>
      <c r="C255" s="178">
        <v>1099</v>
      </c>
      <c r="D255" s="179">
        <f t="shared" si="6"/>
        <v>-581</v>
      </c>
      <c r="E255" s="180">
        <f t="shared" si="7"/>
        <v>-34.583333333333336</v>
      </c>
      <c r="F255" s="181">
        <v>1099</v>
      </c>
      <c r="GV255" s="172"/>
    </row>
    <row r="256" spans="1:204" ht="20.25" customHeight="1">
      <c r="A256" s="176" t="s">
        <v>135</v>
      </c>
      <c r="B256" s="179">
        <v>1343</v>
      </c>
      <c r="C256" s="178">
        <v>243</v>
      </c>
      <c r="D256" s="179">
        <f t="shared" si="6"/>
        <v>-1100</v>
      </c>
      <c r="E256" s="180">
        <f t="shared" si="7"/>
        <v>-81.90618019359643</v>
      </c>
      <c r="F256" s="181">
        <f>180+243</f>
        <v>423</v>
      </c>
      <c r="GV256" s="172"/>
    </row>
    <row r="257" spans="1:204" ht="20.25" customHeight="1">
      <c r="A257" s="173" t="s">
        <v>136</v>
      </c>
      <c r="B257" s="168">
        <f>SUM(B258:B263)</f>
        <v>1224</v>
      </c>
      <c r="C257" s="168">
        <f>SUM(C258:C263)</f>
        <v>1010</v>
      </c>
      <c r="D257" s="168">
        <f t="shared" si="6"/>
        <v>-214</v>
      </c>
      <c r="E257" s="169">
        <f t="shared" si="7"/>
        <v>-17.483660130718953</v>
      </c>
      <c r="F257" s="170">
        <f>SUM(F258:F263)</f>
        <v>1861</v>
      </c>
      <c r="GV257" s="172"/>
    </row>
    <row r="258" spans="1:204" ht="20.25" customHeight="1">
      <c r="A258" s="176" t="s">
        <v>549</v>
      </c>
      <c r="B258" s="179">
        <v>340</v>
      </c>
      <c r="C258" s="178">
        <v>317</v>
      </c>
      <c r="D258" s="179">
        <f t="shared" si="6"/>
        <v>-23</v>
      </c>
      <c r="E258" s="180">
        <f t="shared" si="7"/>
        <v>-6.764705882352941</v>
      </c>
      <c r="F258" s="181">
        <v>317</v>
      </c>
      <c r="GV258" s="172"/>
    </row>
    <row r="259" spans="1:204" ht="20.25" customHeight="1">
      <c r="A259" s="176" t="s">
        <v>137</v>
      </c>
      <c r="B259" s="179">
        <v>102</v>
      </c>
      <c r="C259" s="178">
        <v>91</v>
      </c>
      <c r="D259" s="179">
        <f t="shared" si="6"/>
        <v>-11</v>
      </c>
      <c r="E259" s="180">
        <f t="shared" si="7"/>
        <v>-10.784313725490197</v>
      </c>
      <c r="F259" s="181">
        <v>91</v>
      </c>
      <c r="GV259" s="172"/>
    </row>
    <row r="260" spans="1:204" ht="20.25" customHeight="1">
      <c r="A260" s="176" t="s">
        <v>138</v>
      </c>
      <c r="B260" s="179">
        <v>231</v>
      </c>
      <c r="C260" s="178">
        <v>215</v>
      </c>
      <c r="D260" s="179">
        <f t="shared" si="6"/>
        <v>-16</v>
      </c>
      <c r="E260" s="180">
        <f t="shared" si="7"/>
        <v>-6.926406926406926</v>
      </c>
      <c r="F260" s="181">
        <v>215</v>
      </c>
      <c r="GV260" s="172"/>
    </row>
    <row r="261" spans="1:204" ht="20.25" customHeight="1">
      <c r="A261" s="176" t="s">
        <v>139</v>
      </c>
      <c r="B261" s="179">
        <f>356+71</f>
        <v>427</v>
      </c>
      <c r="C261" s="178">
        <v>356</v>
      </c>
      <c r="D261" s="179">
        <f t="shared" si="6"/>
        <v>-71</v>
      </c>
      <c r="E261" s="180">
        <f t="shared" si="7"/>
        <v>-16.627634660421545</v>
      </c>
      <c r="F261" s="181">
        <f>847+356</f>
        <v>1203</v>
      </c>
      <c r="GV261" s="172"/>
    </row>
    <row r="262" spans="1:204" ht="20.25" customHeight="1">
      <c r="A262" s="176" t="s">
        <v>140</v>
      </c>
      <c r="B262" s="179">
        <v>114</v>
      </c>
      <c r="C262" s="178">
        <v>31</v>
      </c>
      <c r="D262" s="179">
        <f t="shared" si="6"/>
        <v>-83</v>
      </c>
      <c r="E262" s="180">
        <f t="shared" si="7"/>
        <v>-72.80701754385966</v>
      </c>
      <c r="F262" s="181">
        <f>4+31</f>
        <v>35</v>
      </c>
      <c r="GV262" s="172"/>
    </row>
    <row r="263" spans="1:204" ht="20.25" customHeight="1">
      <c r="A263" s="176" t="s">
        <v>141</v>
      </c>
      <c r="B263" s="179">
        <v>10</v>
      </c>
      <c r="C263" s="178"/>
      <c r="D263" s="179">
        <f t="shared" si="6"/>
        <v>-10</v>
      </c>
      <c r="E263" s="180">
        <f t="shared" si="7"/>
        <v>-100</v>
      </c>
      <c r="F263" s="181"/>
      <c r="GV263" s="172"/>
    </row>
    <row r="264" spans="1:204" ht="20.25" customHeight="1">
      <c r="A264" s="173" t="s">
        <v>142</v>
      </c>
      <c r="B264" s="168">
        <f>SUM(B265:B267)</f>
        <v>360</v>
      </c>
      <c r="C264" s="168">
        <f>SUM(C265:C267)</f>
        <v>430</v>
      </c>
      <c r="D264" s="168">
        <f>C264-B264</f>
        <v>70</v>
      </c>
      <c r="E264" s="169">
        <f>D264/B264*100</f>
        <v>19.444444444444446</v>
      </c>
      <c r="F264" s="170">
        <f>SUM(F265:F267)</f>
        <v>732</v>
      </c>
      <c r="GV264" s="172"/>
    </row>
    <row r="265" spans="1:204" ht="20.25" customHeight="1">
      <c r="A265" s="176" t="s">
        <v>550</v>
      </c>
      <c r="B265" s="179"/>
      <c r="C265" s="179"/>
      <c r="D265" s="179">
        <f>C265-B265</f>
        <v>0</v>
      </c>
      <c r="E265" s="180"/>
      <c r="F265" s="191"/>
      <c r="GV265" s="172"/>
    </row>
    <row r="266" spans="1:204" ht="20.25" customHeight="1">
      <c r="A266" s="176" t="s">
        <v>551</v>
      </c>
      <c r="B266" s="179">
        <v>339</v>
      </c>
      <c r="C266" s="178">
        <v>398</v>
      </c>
      <c r="D266" s="179">
        <f>C266-B266</f>
        <v>59</v>
      </c>
      <c r="E266" s="180">
        <f>D266/B266*100</f>
        <v>17.404129793510325</v>
      </c>
      <c r="F266" s="181">
        <f>302+398</f>
        <v>700</v>
      </c>
      <c r="GV266" s="172"/>
    </row>
    <row r="267" spans="1:204" ht="20.25" customHeight="1">
      <c r="A267" s="176" t="s">
        <v>143</v>
      </c>
      <c r="B267" s="179">
        <v>21</v>
      </c>
      <c r="C267" s="178">
        <v>32</v>
      </c>
      <c r="D267" s="179">
        <f>C267-B267</f>
        <v>11</v>
      </c>
      <c r="E267" s="180">
        <f>D267/B267*100</f>
        <v>52.38095238095239</v>
      </c>
      <c r="F267" s="181">
        <v>32</v>
      </c>
      <c r="GV267" s="172"/>
    </row>
    <row r="268" spans="1:204" ht="20.25" customHeight="1">
      <c r="A268" s="173" t="s">
        <v>144</v>
      </c>
      <c r="B268" s="183">
        <f>SUM(B269:B271)</f>
        <v>104</v>
      </c>
      <c r="C268" s="183">
        <f>SUM(C269:C271)</f>
        <v>66</v>
      </c>
      <c r="D268" s="168">
        <f>C268-B268</f>
        <v>-38</v>
      </c>
      <c r="E268" s="169"/>
      <c r="F268" s="184">
        <f>SUM(F269:F271)</f>
        <v>66</v>
      </c>
      <c r="GV268" s="172"/>
    </row>
    <row r="269" spans="1:204" ht="20.25" customHeight="1">
      <c r="A269" s="185" t="s">
        <v>552</v>
      </c>
      <c r="B269" s="179">
        <v>3</v>
      </c>
      <c r="C269" s="178"/>
      <c r="D269" s="179"/>
      <c r="E269" s="180"/>
      <c r="F269" s="181"/>
      <c r="GV269" s="172"/>
    </row>
    <row r="270" spans="1:204" ht="20.25" customHeight="1">
      <c r="A270" s="176" t="s">
        <v>145</v>
      </c>
      <c r="B270" s="179">
        <v>5</v>
      </c>
      <c r="C270" s="178"/>
      <c r="D270" s="179">
        <f>C270-B270</f>
        <v>-5</v>
      </c>
      <c r="E270" s="180"/>
      <c r="F270" s="181"/>
      <c r="GV270" s="172"/>
    </row>
    <row r="271" spans="1:204" ht="20.25" customHeight="1">
      <c r="A271" s="185" t="s">
        <v>553</v>
      </c>
      <c r="B271" s="179">
        <v>96</v>
      </c>
      <c r="C271" s="178">
        <v>66</v>
      </c>
      <c r="D271" s="179">
        <f>C271-B271</f>
        <v>-30</v>
      </c>
      <c r="E271" s="180"/>
      <c r="F271" s="181">
        <v>66</v>
      </c>
      <c r="GV271" s="172"/>
    </row>
    <row r="272" spans="1:204" ht="20.25" customHeight="1">
      <c r="A272" s="173" t="s">
        <v>554</v>
      </c>
      <c r="B272" s="168">
        <f>SUM(B273:B274)</f>
        <v>2709</v>
      </c>
      <c r="C272" s="168">
        <f>SUM(C273:C274)</f>
        <v>2915</v>
      </c>
      <c r="D272" s="168">
        <f t="shared" si="6"/>
        <v>206</v>
      </c>
      <c r="E272" s="169">
        <f t="shared" si="7"/>
        <v>7.604282022886674</v>
      </c>
      <c r="F272" s="170">
        <f>SUM(F273:F274)</f>
        <v>2915</v>
      </c>
      <c r="GV272" s="172"/>
    </row>
    <row r="273" spans="1:204" ht="20.25" customHeight="1">
      <c r="A273" s="176" t="s">
        <v>555</v>
      </c>
      <c r="B273" s="179">
        <v>846</v>
      </c>
      <c r="C273" s="178">
        <v>836</v>
      </c>
      <c r="D273" s="179">
        <f t="shared" si="6"/>
        <v>-10</v>
      </c>
      <c r="E273" s="180">
        <f t="shared" si="7"/>
        <v>-1.1820330969267139</v>
      </c>
      <c r="F273" s="181">
        <v>836</v>
      </c>
      <c r="GV273" s="172"/>
    </row>
    <row r="274" spans="1:204" ht="20.25" customHeight="1">
      <c r="A274" s="176" t="s">
        <v>146</v>
      </c>
      <c r="B274" s="179">
        <v>1863</v>
      </c>
      <c r="C274" s="178">
        <v>2079</v>
      </c>
      <c r="D274" s="179">
        <f t="shared" si="6"/>
        <v>216</v>
      </c>
      <c r="E274" s="180">
        <f t="shared" si="7"/>
        <v>11.594202898550725</v>
      </c>
      <c r="F274" s="181">
        <v>2079</v>
      </c>
      <c r="GV274" s="172"/>
    </row>
    <row r="275" spans="1:204" ht="20.25" customHeight="1">
      <c r="A275" s="182" t="s">
        <v>147</v>
      </c>
      <c r="B275" s="183">
        <f>SUM(B276:B277)</f>
        <v>2981</v>
      </c>
      <c r="C275" s="183">
        <f>SUM(C276:C277)</f>
        <v>2959</v>
      </c>
      <c r="D275" s="179">
        <f>C275-B275</f>
        <v>-22</v>
      </c>
      <c r="E275" s="169">
        <f aca="true" t="shared" si="8" ref="E275:E281">D275/B275*100</f>
        <v>-0.7380073800738007</v>
      </c>
      <c r="F275" s="184">
        <f>SUM(F276:F277)</f>
        <v>6908</v>
      </c>
      <c r="GV275" s="172"/>
    </row>
    <row r="276" spans="1:204" ht="20.25" customHeight="1">
      <c r="A276" s="185" t="s">
        <v>725</v>
      </c>
      <c r="B276" s="179">
        <v>180</v>
      </c>
      <c r="C276" s="178">
        <v>120</v>
      </c>
      <c r="D276" s="179">
        <f>C276-B276</f>
        <v>-60</v>
      </c>
      <c r="E276" s="180">
        <f t="shared" si="8"/>
        <v>-33.33333333333333</v>
      </c>
      <c r="F276" s="181">
        <v>120</v>
      </c>
      <c r="GV276" s="172"/>
    </row>
    <row r="277" spans="1:204" ht="20.25" customHeight="1">
      <c r="A277" s="185" t="s">
        <v>556</v>
      </c>
      <c r="B277" s="179">
        <v>2801</v>
      </c>
      <c r="C277" s="178">
        <v>2839</v>
      </c>
      <c r="D277" s="179">
        <f>C277-B277</f>
        <v>38</v>
      </c>
      <c r="E277" s="180">
        <f t="shared" si="8"/>
        <v>1.3566583363084612</v>
      </c>
      <c r="F277" s="181">
        <f>3949+2839</f>
        <v>6788</v>
      </c>
      <c r="GV277" s="172"/>
    </row>
    <row r="278" spans="1:204" ht="20.25" customHeight="1">
      <c r="A278" s="176" t="s">
        <v>557</v>
      </c>
      <c r="B278" s="179"/>
      <c r="C278" s="178"/>
      <c r="D278" s="179">
        <f>C278-B278</f>
        <v>0</v>
      </c>
      <c r="E278" s="180"/>
      <c r="F278" s="181"/>
      <c r="GV278" s="172"/>
    </row>
    <row r="279" spans="1:204" ht="20.25" customHeight="1">
      <c r="A279" s="173" t="s">
        <v>558</v>
      </c>
      <c r="B279" s="168"/>
      <c r="C279" s="183">
        <f>C280</f>
        <v>0</v>
      </c>
      <c r="D279" s="179">
        <f>C279-B279</f>
        <v>0</v>
      </c>
      <c r="E279" s="169"/>
      <c r="F279" s="184">
        <f>F280</f>
        <v>219</v>
      </c>
      <c r="GV279" s="172"/>
    </row>
    <row r="280" spans="1:204" ht="20.25" customHeight="1">
      <c r="A280" s="176" t="s">
        <v>559</v>
      </c>
      <c r="B280" s="168"/>
      <c r="C280" s="183"/>
      <c r="D280" s="168"/>
      <c r="E280" s="180"/>
      <c r="F280" s="181">
        <v>219</v>
      </c>
      <c r="GV280" s="172"/>
    </row>
    <row r="281" spans="1:204" ht="20.25" customHeight="1">
      <c r="A281" s="173" t="s">
        <v>560</v>
      </c>
      <c r="B281" s="183">
        <f>B282</f>
        <v>79</v>
      </c>
      <c r="C281" s="183">
        <f>C282</f>
        <v>85</v>
      </c>
      <c r="D281" s="168"/>
      <c r="E281" s="180">
        <f t="shared" si="8"/>
        <v>0</v>
      </c>
      <c r="F281" s="184">
        <f>F282</f>
        <v>108</v>
      </c>
      <c r="GV281" s="172"/>
    </row>
    <row r="282" spans="1:204" ht="20.25" customHeight="1">
      <c r="A282" s="176" t="s">
        <v>561</v>
      </c>
      <c r="B282" s="179">
        <v>79</v>
      </c>
      <c r="C282" s="178">
        <v>85</v>
      </c>
      <c r="D282" s="179">
        <f t="shared" si="6"/>
        <v>6</v>
      </c>
      <c r="E282" s="180">
        <f t="shared" si="7"/>
        <v>7.59493670886076</v>
      </c>
      <c r="F282" s="181">
        <f>23+85</f>
        <v>108</v>
      </c>
      <c r="GV282" s="172"/>
    </row>
    <row r="283" spans="1:204" ht="20.25" customHeight="1">
      <c r="A283" s="173" t="s">
        <v>736</v>
      </c>
      <c r="B283" s="168"/>
      <c r="C283" s="183">
        <f>C284</f>
        <v>0</v>
      </c>
      <c r="D283" s="168"/>
      <c r="E283" s="169"/>
      <c r="F283" s="184">
        <f>F284</f>
        <v>1</v>
      </c>
      <c r="GV283" s="172"/>
    </row>
    <row r="284" spans="1:204" ht="20.25" customHeight="1">
      <c r="A284" s="176" t="s">
        <v>737</v>
      </c>
      <c r="B284" s="179"/>
      <c r="C284" s="178"/>
      <c r="D284" s="179">
        <f>C284-B284</f>
        <v>0</v>
      </c>
      <c r="E284" s="180"/>
      <c r="F284" s="181">
        <v>1</v>
      </c>
      <c r="GV284" s="172"/>
    </row>
    <row r="285" spans="1:204" ht="20.25" customHeight="1">
      <c r="A285" s="173" t="s">
        <v>562</v>
      </c>
      <c r="B285" s="168">
        <f>B286+B289+B291+B293+B298</f>
        <v>1035</v>
      </c>
      <c r="C285" s="168">
        <f>C286+C289+C291+C293+C298</f>
        <v>517</v>
      </c>
      <c r="D285" s="168">
        <f t="shared" si="6"/>
        <v>-518</v>
      </c>
      <c r="E285" s="169">
        <f t="shared" si="7"/>
        <v>-50.04830917874396</v>
      </c>
      <c r="F285" s="170">
        <f>F286+F289+F291+F293+F298+F296</f>
        <v>2111</v>
      </c>
      <c r="GV285" s="172"/>
    </row>
    <row r="286" spans="1:204" ht="20.25" customHeight="1">
      <c r="A286" s="173" t="s">
        <v>148</v>
      </c>
      <c r="B286" s="168">
        <f>SUM(B287:B288)</f>
        <v>469</v>
      </c>
      <c r="C286" s="168">
        <f>SUM(C287:C288)</f>
        <v>182</v>
      </c>
      <c r="D286" s="168">
        <f t="shared" si="6"/>
        <v>-287</v>
      </c>
      <c r="E286" s="169">
        <f t="shared" si="7"/>
        <v>-61.19402985074627</v>
      </c>
      <c r="F286" s="170">
        <f>SUM(F287:F288)</f>
        <v>182</v>
      </c>
      <c r="GV286" s="172"/>
    </row>
    <row r="287" spans="1:204" ht="20.25" customHeight="1">
      <c r="A287" s="176" t="s">
        <v>563</v>
      </c>
      <c r="B287" s="179">
        <v>81</v>
      </c>
      <c r="C287" s="178">
        <v>60</v>
      </c>
      <c r="D287" s="179">
        <f t="shared" si="6"/>
        <v>-21</v>
      </c>
      <c r="E287" s="180">
        <f t="shared" si="7"/>
        <v>-25.925925925925924</v>
      </c>
      <c r="F287" s="181">
        <v>60</v>
      </c>
      <c r="GV287" s="172"/>
    </row>
    <row r="288" spans="1:204" ht="20.25" customHeight="1">
      <c r="A288" s="176" t="s">
        <v>149</v>
      </c>
      <c r="B288" s="179">
        <v>388</v>
      </c>
      <c r="C288" s="178">
        <v>122</v>
      </c>
      <c r="D288" s="179">
        <f t="shared" si="6"/>
        <v>-266</v>
      </c>
      <c r="E288" s="180">
        <f t="shared" si="7"/>
        <v>-68.55670103092784</v>
      </c>
      <c r="F288" s="181">
        <v>122</v>
      </c>
      <c r="GV288" s="172"/>
    </row>
    <row r="289" spans="1:204" ht="20.25" customHeight="1">
      <c r="A289" s="173" t="s">
        <v>150</v>
      </c>
      <c r="B289" s="168">
        <f>B290</f>
        <v>168</v>
      </c>
      <c r="C289" s="168">
        <f>C290</f>
        <v>5</v>
      </c>
      <c r="D289" s="168">
        <f t="shared" si="6"/>
        <v>-163</v>
      </c>
      <c r="E289" s="169">
        <f t="shared" si="7"/>
        <v>-97.02380952380952</v>
      </c>
      <c r="F289" s="170">
        <f>F290</f>
        <v>5</v>
      </c>
      <c r="GV289" s="172"/>
    </row>
    <row r="290" spans="1:204" ht="20.25" customHeight="1">
      <c r="A290" s="176" t="s">
        <v>151</v>
      </c>
      <c r="B290" s="179">
        <v>168</v>
      </c>
      <c r="C290" s="178">
        <v>5</v>
      </c>
      <c r="D290" s="179">
        <f t="shared" si="6"/>
        <v>-163</v>
      </c>
      <c r="E290" s="180">
        <f t="shared" si="7"/>
        <v>-97.02380952380952</v>
      </c>
      <c r="F290" s="181">
        <v>5</v>
      </c>
      <c r="GV290" s="172"/>
    </row>
    <row r="291" spans="1:204" ht="20.25" customHeight="1">
      <c r="A291" s="173" t="s">
        <v>152</v>
      </c>
      <c r="B291" s="168">
        <f>B292</f>
        <v>88</v>
      </c>
      <c r="C291" s="168">
        <f>C292</f>
        <v>0</v>
      </c>
      <c r="D291" s="168">
        <f t="shared" si="6"/>
        <v>-88</v>
      </c>
      <c r="E291" s="169">
        <f t="shared" si="7"/>
        <v>-100</v>
      </c>
      <c r="F291" s="170">
        <f>F292</f>
        <v>0</v>
      </c>
      <c r="GV291" s="172"/>
    </row>
    <row r="292" spans="1:204" ht="20.25" customHeight="1">
      <c r="A292" s="176" t="s">
        <v>564</v>
      </c>
      <c r="B292" s="179">
        <v>88</v>
      </c>
      <c r="C292" s="178"/>
      <c r="D292" s="179">
        <f t="shared" si="6"/>
        <v>-88</v>
      </c>
      <c r="E292" s="180">
        <f t="shared" si="7"/>
        <v>-100</v>
      </c>
      <c r="F292" s="181"/>
      <c r="GV292" s="172"/>
    </row>
    <row r="293" spans="1:204" ht="20.25" customHeight="1">
      <c r="A293" s="173" t="s">
        <v>153</v>
      </c>
      <c r="B293" s="168">
        <f>SUM(B294:B295)</f>
        <v>310</v>
      </c>
      <c r="C293" s="168">
        <f>SUM(C294:C295)</f>
        <v>330</v>
      </c>
      <c r="D293" s="168">
        <f t="shared" si="6"/>
        <v>20</v>
      </c>
      <c r="E293" s="169">
        <f t="shared" si="7"/>
        <v>6.451612903225806</v>
      </c>
      <c r="F293" s="170">
        <f>SUM(F294:F295)</f>
        <v>935</v>
      </c>
      <c r="GV293" s="172"/>
    </row>
    <row r="294" spans="1:204" ht="20.25" customHeight="1">
      <c r="A294" s="176" t="s">
        <v>565</v>
      </c>
      <c r="B294" s="179">
        <v>15</v>
      </c>
      <c r="C294" s="178"/>
      <c r="D294" s="179">
        <f t="shared" si="6"/>
        <v>-15</v>
      </c>
      <c r="E294" s="180">
        <f t="shared" si="7"/>
        <v>-100</v>
      </c>
      <c r="F294" s="181">
        <v>605</v>
      </c>
      <c r="GV294" s="172"/>
    </row>
    <row r="295" spans="1:204" ht="20.25" customHeight="1">
      <c r="A295" s="176" t="s">
        <v>566</v>
      </c>
      <c r="B295" s="179">
        <v>295</v>
      </c>
      <c r="C295" s="178">
        <v>330</v>
      </c>
      <c r="D295" s="179">
        <f t="shared" si="6"/>
        <v>35</v>
      </c>
      <c r="E295" s="180">
        <f t="shared" si="7"/>
        <v>11.864406779661017</v>
      </c>
      <c r="F295" s="181">
        <v>330</v>
      </c>
      <c r="GV295" s="172"/>
    </row>
    <row r="296" spans="1:204" ht="20.25" customHeight="1">
      <c r="A296" s="173" t="s">
        <v>738</v>
      </c>
      <c r="B296" s="168">
        <f>SUM(B299:B300)</f>
        <v>0</v>
      </c>
      <c r="C296" s="168">
        <f>SUM(C299:C300)</f>
        <v>0</v>
      </c>
      <c r="D296" s="168">
        <f>C296-B296</f>
        <v>0</v>
      </c>
      <c r="E296" s="169"/>
      <c r="F296" s="170">
        <f>SUM(F297)</f>
        <v>899</v>
      </c>
      <c r="GV296" s="172"/>
    </row>
    <row r="297" spans="1:204" ht="20.25" customHeight="1">
      <c r="A297" s="176" t="s">
        <v>739</v>
      </c>
      <c r="B297" s="179"/>
      <c r="C297" s="179"/>
      <c r="D297" s="179"/>
      <c r="E297" s="180"/>
      <c r="F297" s="191">
        <v>899</v>
      </c>
      <c r="GV297" s="172"/>
    </row>
    <row r="298" spans="1:204" ht="20.25" customHeight="1">
      <c r="A298" s="173" t="s">
        <v>567</v>
      </c>
      <c r="B298" s="168">
        <f>SUM(B300:B301)</f>
        <v>0</v>
      </c>
      <c r="C298" s="168">
        <f>SUM(C300:C301)</f>
        <v>0</v>
      </c>
      <c r="D298" s="168">
        <f t="shared" si="6"/>
        <v>0</v>
      </c>
      <c r="E298" s="169"/>
      <c r="F298" s="170">
        <f>SUM(F299:F301)</f>
        <v>90</v>
      </c>
      <c r="GV298" s="172"/>
    </row>
    <row r="299" spans="1:204" ht="20.25" customHeight="1">
      <c r="A299" s="176" t="s">
        <v>568</v>
      </c>
      <c r="B299" s="179"/>
      <c r="C299" s="179"/>
      <c r="D299" s="179"/>
      <c r="E299" s="180"/>
      <c r="F299" s="191">
        <v>90</v>
      </c>
      <c r="GV299" s="172"/>
    </row>
    <row r="300" spans="1:204" ht="20.25" customHeight="1">
      <c r="A300" s="176" t="s">
        <v>569</v>
      </c>
      <c r="B300" s="179"/>
      <c r="C300" s="178"/>
      <c r="D300" s="179">
        <f t="shared" si="6"/>
        <v>0</v>
      </c>
      <c r="E300" s="180"/>
      <c r="F300" s="181"/>
      <c r="GV300" s="172"/>
    </row>
    <row r="301" spans="1:204" ht="20.25" customHeight="1">
      <c r="A301" s="176" t="s">
        <v>570</v>
      </c>
      <c r="B301" s="179"/>
      <c r="C301" s="178"/>
      <c r="D301" s="179">
        <f t="shared" si="6"/>
        <v>0</v>
      </c>
      <c r="E301" s="180"/>
      <c r="F301" s="181"/>
      <c r="GV301" s="172"/>
    </row>
    <row r="302" spans="1:204" ht="20.25" customHeight="1">
      <c r="A302" s="173" t="s">
        <v>571</v>
      </c>
      <c r="B302" s="168">
        <f>B303+B307+B309+B312+B314</f>
        <v>1865</v>
      </c>
      <c r="C302" s="168">
        <f>C303+C307+C309+C312+C314</f>
        <v>2282</v>
      </c>
      <c r="D302" s="168">
        <f t="shared" si="6"/>
        <v>417</v>
      </c>
      <c r="E302" s="169">
        <f t="shared" si="7"/>
        <v>22.35924932975871</v>
      </c>
      <c r="F302" s="170">
        <f>F303+F307+F309+F312+F314</f>
        <v>2282</v>
      </c>
      <c r="GV302" s="172"/>
    </row>
    <row r="303" spans="1:204" ht="20.25" customHeight="1">
      <c r="A303" s="173" t="s">
        <v>154</v>
      </c>
      <c r="B303" s="168">
        <f>SUM(B304:B306)</f>
        <v>706</v>
      </c>
      <c r="C303" s="168">
        <f>SUM(C304:C306)</f>
        <v>958</v>
      </c>
      <c r="D303" s="168">
        <f t="shared" si="6"/>
        <v>252</v>
      </c>
      <c r="E303" s="169">
        <f t="shared" si="7"/>
        <v>35.69405099150141</v>
      </c>
      <c r="F303" s="170">
        <f>SUM(F304:F306)</f>
        <v>958</v>
      </c>
      <c r="GV303" s="172"/>
    </row>
    <row r="304" spans="1:204" ht="20.25" customHeight="1">
      <c r="A304" s="176" t="s">
        <v>572</v>
      </c>
      <c r="B304" s="179">
        <v>111</v>
      </c>
      <c r="C304" s="178">
        <v>102</v>
      </c>
      <c r="D304" s="179">
        <f t="shared" si="6"/>
        <v>-9</v>
      </c>
      <c r="E304" s="180">
        <f t="shared" si="7"/>
        <v>-8.108108108108109</v>
      </c>
      <c r="F304" s="181">
        <v>102</v>
      </c>
      <c r="GV304" s="172"/>
    </row>
    <row r="305" spans="1:204" ht="20.25" customHeight="1">
      <c r="A305" s="176" t="s">
        <v>155</v>
      </c>
      <c r="B305" s="179">
        <v>175</v>
      </c>
      <c r="C305" s="178">
        <v>186</v>
      </c>
      <c r="D305" s="179">
        <f t="shared" si="6"/>
        <v>11</v>
      </c>
      <c r="E305" s="180">
        <f t="shared" si="7"/>
        <v>6.2857142857142865</v>
      </c>
      <c r="F305" s="181">
        <v>186</v>
      </c>
      <c r="GV305" s="172"/>
    </row>
    <row r="306" spans="1:204" ht="20.25" customHeight="1">
      <c r="A306" s="176" t="s">
        <v>156</v>
      </c>
      <c r="B306" s="179">
        <v>420</v>
      </c>
      <c r="C306" s="178">
        <v>670</v>
      </c>
      <c r="D306" s="179">
        <f t="shared" si="6"/>
        <v>250</v>
      </c>
      <c r="E306" s="180">
        <f t="shared" si="7"/>
        <v>59.523809523809526</v>
      </c>
      <c r="F306" s="181">
        <v>670</v>
      </c>
      <c r="GV306" s="172"/>
    </row>
    <row r="307" spans="1:204" ht="20.25" customHeight="1">
      <c r="A307" s="173" t="s">
        <v>157</v>
      </c>
      <c r="B307" s="168">
        <f>B308</f>
        <v>34</v>
      </c>
      <c r="C307" s="168">
        <f>C308</f>
        <v>28</v>
      </c>
      <c r="D307" s="168">
        <f aca="true" t="shared" si="9" ref="D307:D388">C307-B307</f>
        <v>-6</v>
      </c>
      <c r="E307" s="169">
        <f aca="true" t="shared" si="10" ref="E307:E388">D307/B307*100</f>
        <v>-17.647058823529413</v>
      </c>
      <c r="F307" s="170">
        <f>F308</f>
        <v>28</v>
      </c>
      <c r="GV307" s="172"/>
    </row>
    <row r="308" spans="1:204" ht="20.25" customHeight="1">
      <c r="A308" s="176" t="s">
        <v>158</v>
      </c>
      <c r="B308" s="179">
        <v>34</v>
      </c>
      <c r="C308" s="178">
        <v>28</v>
      </c>
      <c r="D308" s="179">
        <f t="shared" si="9"/>
        <v>-6</v>
      </c>
      <c r="E308" s="180">
        <f t="shared" si="10"/>
        <v>-17.647058823529413</v>
      </c>
      <c r="F308" s="181">
        <v>28</v>
      </c>
      <c r="GV308" s="172"/>
    </row>
    <row r="309" spans="1:204" ht="20.25" customHeight="1">
      <c r="A309" s="173" t="s">
        <v>159</v>
      </c>
      <c r="B309" s="168">
        <f>SUM(B310:B311)</f>
        <v>504</v>
      </c>
      <c r="C309" s="168">
        <f>SUM(C310:C311)</f>
        <v>588</v>
      </c>
      <c r="D309" s="168">
        <f t="shared" si="9"/>
        <v>84</v>
      </c>
      <c r="E309" s="169">
        <f t="shared" si="10"/>
        <v>16.666666666666664</v>
      </c>
      <c r="F309" s="170">
        <f>SUM(F310:F311)</f>
        <v>588</v>
      </c>
      <c r="GV309" s="172"/>
    </row>
    <row r="310" spans="1:204" ht="20.25" customHeight="1">
      <c r="A310" s="176" t="s">
        <v>573</v>
      </c>
      <c r="B310" s="179">
        <v>78</v>
      </c>
      <c r="C310" s="178">
        <v>90</v>
      </c>
      <c r="D310" s="179">
        <f t="shared" si="9"/>
        <v>12</v>
      </c>
      <c r="E310" s="180">
        <f t="shared" si="10"/>
        <v>15.384615384615385</v>
      </c>
      <c r="F310" s="181">
        <v>90</v>
      </c>
      <c r="GV310" s="172"/>
    </row>
    <row r="311" spans="1:204" ht="20.25" customHeight="1">
      <c r="A311" s="176" t="s">
        <v>160</v>
      </c>
      <c r="B311" s="179">
        <v>426</v>
      </c>
      <c r="C311" s="178">
        <v>498</v>
      </c>
      <c r="D311" s="179">
        <f t="shared" si="9"/>
        <v>72</v>
      </c>
      <c r="E311" s="180">
        <f t="shared" si="10"/>
        <v>16.901408450704224</v>
      </c>
      <c r="F311" s="181">
        <v>498</v>
      </c>
      <c r="GV311" s="172"/>
    </row>
    <row r="312" spans="1:204" ht="20.25" customHeight="1">
      <c r="A312" s="173" t="s">
        <v>161</v>
      </c>
      <c r="B312" s="168">
        <f>B313</f>
        <v>588</v>
      </c>
      <c r="C312" s="168">
        <f>C313</f>
        <v>680</v>
      </c>
      <c r="D312" s="168">
        <f t="shared" si="9"/>
        <v>92</v>
      </c>
      <c r="E312" s="169">
        <f t="shared" si="10"/>
        <v>15.646258503401361</v>
      </c>
      <c r="F312" s="170">
        <f>F313</f>
        <v>680</v>
      </c>
      <c r="GV312" s="172"/>
    </row>
    <row r="313" spans="1:204" ht="20.25" customHeight="1">
      <c r="A313" s="176" t="s">
        <v>162</v>
      </c>
      <c r="B313" s="179">
        <v>588</v>
      </c>
      <c r="C313" s="178">
        <v>680</v>
      </c>
      <c r="D313" s="179">
        <f t="shared" si="9"/>
        <v>92</v>
      </c>
      <c r="E313" s="180">
        <f t="shared" si="10"/>
        <v>15.646258503401361</v>
      </c>
      <c r="F313" s="181">
        <v>680</v>
      </c>
      <c r="GV313" s="172"/>
    </row>
    <row r="314" spans="1:204" ht="20.25" customHeight="1">
      <c r="A314" s="173" t="s">
        <v>574</v>
      </c>
      <c r="B314" s="168">
        <f>B315</f>
        <v>33</v>
      </c>
      <c r="C314" s="168">
        <f>C315</f>
        <v>28</v>
      </c>
      <c r="D314" s="168">
        <f t="shared" si="9"/>
        <v>-5</v>
      </c>
      <c r="E314" s="169">
        <f t="shared" si="10"/>
        <v>-15.151515151515152</v>
      </c>
      <c r="F314" s="170">
        <f>F315</f>
        <v>28</v>
      </c>
      <c r="GV314" s="172"/>
    </row>
    <row r="315" spans="1:204" ht="20.25" customHeight="1">
      <c r="A315" s="176" t="s">
        <v>575</v>
      </c>
      <c r="B315" s="179">
        <v>33</v>
      </c>
      <c r="C315" s="178">
        <v>28</v>
      </c>
      <c r="D315" s="179">
        <f t="shared" si="9"/>
        <v>-5</v>
      </c>
      <c r="E315" s="180">
        <f t="shared" si="10"/>
        <v>-15.151515151515152</v>
      </c>
      <c r="F315" s="181">
        <v>28</v>
      </c>
      <c r="GV315" s="172"/>
    </row>
    <row r="316" spans="1:6" ht="20.25" customHeight="1">
      <c r="A316" s="173" t="s">
        <v>576</v>
      </c>
      <c r="B316" s="168">
        <f>B317+B332+B342+B356+B361+B365+B372+B375+B378</f>
        <v>11725</v>
      </c>
      <c r="C316" s="168">
        <f>C317+C332+C342+C356+C361+C365+C372+C375+C378</f>
        <v>11929</v>
      </c>
      <c r="D316" s="168">
        <f t="shared" si="9"/>
        <v>204</v>
      </c>
      <c r="E316" s="169">
        <f t="shared" si="10"/>
        <v>1.7398720682302773</v>
      </c>
      <c r="F316" s="170">
        <f>F317+F332+F342+F356+F361+F365+F372+F375+F378</f>
        <v>36189</v>
      </c>
    </row>
    <row r="317" spans="1:6" ht="20.25" customHeight="1">
      <c r="A317" s="173" t="s">
        <v>729</v>
      </c>
      <c r="B317" s="168">
        <f>SUM(B318:B331)</f>
        <v>4470</v>
      </c>
      <c r="C317" s="168">
        <f>SUM(C318:C331)</f>
        <v>5280</v>
      </c>
      <c r="D317" s="168">
        <f t="shared" si="9"/>
        <v>810</v>
      </c>
      <c r="E317" s="169">
        <f t="shared" si="10"/>
        <v>18.120805369127517</v>
      </c>
      <c r="F317" s="170">
        <f>SUM(F318:F331)</f>
        <v>5330</v>
      </c>
    </row>
    <row r="318" spans="1:6" ht="20.25" customHeight="1">
      <c r="A318" s="176" t="s">
        <v>577</v>
      </c>
      <c r="B318" s="179">
        <v>269</v>
      </c>
      <c r="C318" s="178">
        <v>267</v>
      </c>
      <c r="D318" s="179">
        <f t="shared" si="9"/>
        <v>-2</v>
      </c>
      <c r="E318" s="180">
        <f t="shared" si="10"/>
        <v>-0.7434944237918215</v>
      </c>
      <c r="F318" s="181">
        <v>267</v>
      </c>
    </row>
    <row r="319" spans="1:6" ht="20.25" customHeight="1">
      <c r="A319" s="176" t="s">
        <v>578</v>
      </c>
      <c r="B319" s="179">
        <v>1602</v>
      </c>
      <c r="C319" s="178">
        <v>1524</v>
      </c>
      <c r="D319" s="179">
        <f t="shared" si="9"/>
        <v>-78</v>
      </c>
      <c r="E319" s="180">
        <f t="shared" si="10"/>
        <v>-4.868913857677903</v>
      </c>
      <c r="F319" s="181">
        <v>1524</v>
      </c>
    </row>
    <row r="320" spans="1:6" ht="20.25" customHeight="1">
      <c r="A320" s="176" t="s">
        <v>163</v>
      </c>
      <c r="B320" s="179">
        <v>18</v>
      </c>
      <c r="C320" s="178"/>
      <c r="D320" s="179">
        <f t="shared" si="9"/>
        <v>-18</v>
      </c>
      <c r="E320" s="180">
        <f t="shared" si="10"/>
        <v>-100</v>
      </c>
      <c r="F320" s="181"/>
    </row>
    <row r="321" spans="1:6" ht="20.25" customHeight="1">
      <c r="A321" s="176" t="s">
        <v>164</v>
      </c>
      <c r="B321" s="179">
        <v>61</v>
      </c>
      <c r="C321" s="178">
        <v>91</v>
      </c>
      <c r="D321" s="179">
        <f t="shared" si="9"/>
        <v>30</v>
      </c>
      <c r="E321" s="180">
        <f t="shared" si="10"/>
        <v>49.18032786885246</v>
      </c>
      <c r="F321" s="181">
        <f>35+91</f>
        <v>126</v>
      </c>
    </row>
    <row r="322" spans="1:6" ht="20.25" customHeight="1">
      <c r="A322" s="176" t="s">
        <v>165</v>
      </c>
      <c r="B322" s="179">
        <v>9</v>
      </c>
      <c r="C322" s="178">
        <v>3</v>
      </c>
      <c r="D322" s="179">
        <f t="shared" si="9"/>
        <v>-6</v>
      </c>
      <c r="E322" s="180">
        <f t="shared" si="10"/>
        <v>-66.66666666666666</v>
      </c>
      <c r="F322" s="181">
        <v>3</v>
      </c>
    </row>
    <row r="323" spans="1:6" ht="20.25" customHeight="1">
      <c r="A323" s="176" t="s">
        <v>166</v>
      </c>
      <c r="B323" s="179">
        <v>18</v>
      </c>
      <c r="C323" s="178">
        <v>5</v>
      </c>
      <c r="D323" s="179">
        <f t="shared" si="9"/>
        <v>-13</v>
      </c>
      <c r="E323" s="180">
        <f t="shared" si="10"/>
        <v>-72.22222222222221</v>
      </c>
      <c r="F323" s="181">
        <v>5</v>
      </c>
    </row>
    <row r="324" spans="1:6" ht="20.25" customHeight="1">
      <c r="A324" s="176" t="s">
        <v>167</v>
      </c>
      <c r="B324" s="179">
        <v>4</v>
      </c>
      <c r="C324" s="178"/>
      <c r="D324" s="179">
        <f t="shared" si="9"/>
        <v>-4</v>
      </c>
      <c r="E324" s="180">
        <f t="shared" si="10"/>
        <v>-100</v>
      </c>
      <c r="F324" s="181"/>
    </row>
    <row r="325" spans="1:6" ht="20.25" customHeight="1">
      <c r="A325" s="176" t="s">
        <v>579</v>
      </c>
      <c r="B325" s="179"/>
      <c r="C325" s="178"/>
      <c r="D325" s="179">
        <f t="shared" si="9"/>
        <v>0</v>
      </c>
      <c r="E325" s="180"/>
      <c r="F325" s="181"/>
    </row>
    <row r="326" spans="1:6" ht="20.25" customHeight="1">
      <c r="A326" s="176" t="s">
        <v>580</v>
      </c>
      <c r="B326" s="179">
        <v>300</v>
      </c>
      <c r="C326" s="178"/>
      <c r="D326" s="179">
        <f t="shared" si="9"/>
        <v>-300</v>
      </c>
      <c r="E326" s="180">
        <f t="shared" si="10"/>
        <v>-100</v>
      </c>
      <c r="F326" s="181"/>
    </row>
    <row r="327" spans="1:6" ht="20.25" customHeight="1">
      <c r="A327" s="176" t="s">
        <v>168</v>
      </c>
      <c r="B327" s="179">
        <v>400</v>
      </c>
      <c r="C327" s="178">
        <v>445</v>
      </c>
      <c r="D327" s="179">
        <f t="shared" si="9"/>
        <v>45</v>
      </c>
      <c r="E327" s="180">
        <f t="shared" si="10"/>
        <v>11.25</v>
      </c>
      <c r="F327" s="181">
        <v>445</v>
      </c>
    </row>
    <row r="328" spans="1:6" ht="20.25" customHeight="1">
      <c r="A328" s="176" t="s">
        <v>169</v>
      </c>
      <c r="B328" s="179">
        <v>300</v>
      </c>
      <c r="C328" s="178">
        <v>799</v>
      </c>
      <c r="D328" s="179">
        <f t="shared" si="9"/>
        <v>499</v>
      </c>
      <c r="E328" s="180">
        <f t="shared" si="10"/>
        <v>166.33333333333334</v>
      </c>
      <c r="F328" s="181">
        <v>799</v>
      </c>
    </row>
    <row r="329" spans="1:6" ht="20.25" customHeight="1">
      <c r="A329" s="176" t="s">
        <v>581</v>
      </c>
      <c r="B329" s="179">
        <f>1200+215</f>
        <v>1415</v>
      </c>
      <c r="C329" s="178">
        <v>2074</v>
      </c>
      <c r="D329" s="179">
        <f t="shared" si="9"/>
        <v>659</v>
      </c>
      <c r="E329" s="180">
        <f t="shared" si="10"/>
        <v>46.572438162544174</v>
      </c>
      <c r="F329" s="181">
        <v>2074</v>
      </c>
    </row>
    <row r="330" spans="1:6" ht="20.25" customHeight="1">
      <c r="A330" s="188" t="s">
        <v>582</v>
      </c>
      <c r="B330" s="179"/>
      <c r="C330" s="178"/>
      <c r="D330" s="179">
        <f t="shared" si="9"/>
        <v>0</v>
      </c>
      <c r="E330" s="180"/>
      <c r="F330" s="181"/>
    </row>
    <row r="331" spans="1:6" ht="20.25" customHeight="1">
      <c r="A331" s="176" t="s">
        <v>170</v>
      </c>
      <c r="B331" s="179">
        <v>74</v>
      </c>
      <c r="C331" s="178">
        <v>72</v>
      </c>
      <c r="D331" s="179">
        <f t="shared" si="9"/>
        <v>-2</v>
      </c>
      <c r="E331" s="180">
        <f t="shared" si="10"/>
        <v>-2.7027027027027026</v>
      </c>
      <c r="F331" s="181">
        <f>15+72</f>
        <v>87</v>
      </c>
    </row>
    <row r="332" spans="1:6" ht="20.25" customHeight="1">
      <c r="A332" s="173" t="s">
        <v>171</v>
      </c>
      <c r="B332" s="168">
        <f>SUM(B333:B341)</f>
        <v>2505</v>
      </c>
      <c r="C332" s="168">
        <f>SUM(C333:C341)</f>
        <v>1712</v>
      </c>
      <c r="D332" s="168">
        <f t="shared" si="9"/>
        <v>-793</v>
      </c>
      <c r="E332" s="169">
        <f t="shared" si="10"/>
        <v>-31.656686626746506</v>
      </c>
      <c r="F332" s="170">
        <f>SUM(F333:F341)</f>
        <v>5808</v>
      </c>
    </row>
    <row r="333" spans="1:6" ht="20.25" customHeight="1">
      <c r="A333" s="176" t="s">
        <v>583</v>
      </c>
      <c r="B333" s="179">
        <v>301</v>
      </c>
      <c r="C333" s="178">
        <v>322</v>
      </c>
      <c r="D333" s="179">
        <f t="shared" si="9"/>
        <v>21</v>
      </c>
      <c r="E333" s="180">
        <f t="shared" si="10"/>
        <v>6.976744186046512</v>
      </c>
      <c r="F333" s="181">
        <v>322</v>
      </c>
    </row>
    <row r="334" spans="1:6" ht="20.25" customHeight="1">
      <c r="A334" s="176" t="s">
        <v>172</v>
      </c>
      <c r="B334" s="179">
        <v>1196</v>
      </c>
      <c r="C334" s="178">
        <v>1330</v>
      </c>
      <c r="D334" s="179">
        <f t="shared" si="9"/>
        <v>134</v>
      </c>
      <c r="E334" s="180">
        <f t="shared" si="10"/>
        <v>11.20401337792642</v>
      </c>
      <c r="F334" s="181">
        <v>1330</v>
      </c>
    </row>
    <row r="335" spans="1:6" ht="20.25" customHeight="1">
      <c r="A335" s="176" t="s">
        <v>584</v>
      </c>
      <c r="B335" s="179"/>
      <c r="C335" s="178"/>
      <c r="D335" s="179">
        <f aca="true" t="shared" si="11" ref="D335:D341">C335-B335</f>
        <v>0</v>
      </c>
      <c r="E335" s="180"/>
      <c r="F335" s="181">
        <v>1109</v>
      </c>
    </row>
    <row r="336" spans="1:6" ht="20.25" customHeight="1">
      <c r="A336" s="189" t="s">
        <v>585</v>
      </c>
      <c r="B336" s="179">
        <v>75</v>
      </c>
      <c r="C336" s="178"/>
      <c r="D336" s="179">
        <f t="shared" si="11"/>
        <v>-75</v>
      </c>
      <c r="E336" s="180">
        <f>D336/B336*100</f>
        <v>-100</v>
      </c>
      <c r="F336" s="181"/>
    </row>
    <row r="337" spans="1:6" ht="20.25" customHeight="1">
      <c r="A337" s="188" t="s">
        <v>586</v>
      </c>
      <c r="B337" s="179"/>
      <c r="C337" s="178"/>
      <c r="D337" s="179">
        <f t="shared" si="11"/>
        <v>0</v>
      </c>
      <c r="E337" s="180"/>
      <c r="F337" s="181">
        <v>2493</v>
      </c>
    </row>
    <row r="338" spans="1:6" ht="20.25" customHeight="1">
      <c r="A338" s="188" t="s">
        <v>587</v>
      </c>
      <c r="B338" s="179"/>
      <c r="C338" s="178"/>
      <c r="D338" s="179">
        <f t="shared" si="11"/>
        <v>0</v>
      </c>
      <c r="E338" s="180"/>
      <c r="F338" s="181">
        <v>20</v>
      </c>
    </row>
    <row r="339" spans="1:6" ht="20.25" customHeight="1">
      <c r="A339" s="188" t="s">
        <v>749</v>
      </c>
      <c r="B339" s="179">
        <v>903</v>
      </c>
      <c r="C339" s="178"/>
      <c r="D339" s="179">
        <f>C339-B339</f>
        <v>-903</v>
      </c>
      <c r="E339" s="180">
        <f>D339/B339*100</f>
        <v>-100</v>
      </c>
      <c r="F339" s="181"/>
    </row>
    <row r="340" spans="1:6" ht="20.25" customHeight="1">
      <c r="A340" s="188" t="s">
        <v>726</v>
      </c>
      <c r="B340" s="179"/>
      <c r="C340" s="178">
        <v>60</v>
      </c>
      <c r="D340" s="179">
        <f t="shared" si="11"/>
        <v>60</v>
      </c>
      <c r="E340" s="180"/>
      <c r="F340" s="181">
        <f>150+60</f>
        <v>210</v>
      </c>
    </row>
    <row r="341" spans="1:6" ht="20.25" customHeight="1">
      <c r="A341" s="176" t="s">
        <v>173</v>
      </c>
      <c r="B341" s="179">
        <v>30</v>
      </c>
      <c r="C341" s="178"/>
      <c r="D341" s="179">
        <f t="shared" si="11"/>
        <v>-30</v>
      </c>
      <c r="E341" s="180">
        <f>D341/B341*100</f>
        <v>-100</v>
      </c>
      <c r="F341" s="181">
        <v>324</v>
      </c>
    </row>
    <row r="342" spans="1:6" ht="20.25" customHeight="1">
      <c r="A342" s="173" t="s">
        <v>174</v>
      </c>
      <c r="B342" s="168">
        <f>SUM(B343:B355)</f>
        <v>3016</v>
      </c>
      <c r="C342" s="168">
        <f>SUM(C343:C355)</f>
        <v>3160</v>
      </c>
      <c r="D342" s="168">
        <f t="shared" si="9"/>
        <v>144</v>
      </c>
      <c r="E342" s="169">
        <f t="shared" si="10"/>
        <v>4.774535809018567</v>
      </c>
      <c r="F342" s="170">
        <f>SUM(F343:F355)</f>
        <v>9699</v>
      </c>
    </row>
    <row r="343" spans="1:6" ht="20.25" customHeight="1">
      <c r="A343" s="176" t="s">
        <v>588</v>
      </c>
      <c r="B343" s="179">
        <v>66</v>
      </c>
      <c r="C343" s="178">
        <v>60</v>
      </c>
      <c r="D343" s="179">
        <f t="shared" si="9"/>
        <v>-6</v>
      </c>
      <c r="E343" s="180">
        <f t="shared" si="10"/>
        <v>-9.090909090909092</v>
      </c>
      <c r="F343" s="181">
        <v>60</v>
      </c>
    </row>
    <row r="344" spans="1:6" ht="20.25" customHeight="1">
      <c r="A344" s="176" t="s">
        <v>175</v>
      </c>
      <c r="B344" s="179">
        <v>440</v>
      </c>
      <c r="C344" s="178">
        <v>441</v>
      </c>
      <c r="D344" s="179">
        <f t="shared" si="9"/>
        <v>1</v>
      </c>
      <c r="E344" s="180">
        <f t="shared" si="10"/>
        <v>0.22727272727272727</v>
      </c>
      <c r="F344" s="181">
        <v>441</v>
      </c>
    </row>
    <row r="345" spans="1:6" ht="20.25" customHeight="1">
      <c r="A345" s="176" t="s">
        <v>589</v>
      </c>
      <c r="B345" s="179"/>
      <c r="C345" s="178">
        <v>741</v>
      </c>
      <c r="D345" s="179">
        <f t="shared" si="9"/>
        <v>741</v>
      </c>
      <c r="E345" s="180"/>
      <c r="F345" s="181">
        <v>741</v>
      </c>
    </row>
    <row r="346" spans="1:6" ht="20.25" customHeight="1">
      <c r="A346" s="176" t="s">
        <v>176</v>
      </c>
      <c r="B346" s="179">
        <v>2154</v>
      </c>
      <c r="C346" s="178">
        <v>1773</v>
      </c>
      <c r="D346" s="179">
        <f t="shared" si="9"/>
        <v>-381</v>
      </c>
      <c r="E346" s="180">
        <f t="shared" si="10"/>
        <v>-17.68802228412256</v>
      </c>
      <c r="F346" s="181">
        <f>492+1773</f>
        <v>2265</v>
      </c>
    </row>
    <row r="347" spans="1:6" ht="20.25" customHeight="1">
      <c r="A347" s="185" t="s">
        <v>177</v>
      </c>
      <c r="B347" s="179">
        <v>3</v>
      </c>
      <c r="C347" s="178">
        <v>3</v>
      </c>
      <c r="D347" s="179">
        <f t="shared" si="9"/>
        <v>0</v>
      </c>
      <c r="E347" s="180">
        <f t="shared" si="10"/>
        <v>0</v>
      </c>
      <c r="F347" s="181">
        <v>3</v>
      </c>
    </row>
    <row r="348" spans="1:6" ht="20.25" customHeight="1">
      <c r="A348" s="176" t="s">
        <v>590</v>
      </c>
      <c r="B348" s="179">
        <v>16</v>
      </c>
      <c r="C348" s="178">
        <v>16</v>
      </c>
      <c r="D348" s="179">
        <f t="shared" si="9"/>
        <v>0</v>
      </c>
      <c r="E348" s="180">
        <f t="shared" si="10"/>
        <v>0</v>
      </c>
      <c r="F348" s="181">
        <f>308+16</f>
        <v>324</v>
      </c>
    </row>
    <row r="349" spans="1:6" ht="20.25" customHeight="1">
      <c r="A349" s="176" t="s">
        <v>179</v>
      </c>
      <c r="B349" s="179">
        <v>52</v>
      </c>
      <c r="C349" s="178">
        <v>47</v>
      </c>
      <c r="D349" s="179">
        <f t="shared" si="9"/>
        <v>-5</v>
      </c>
      <c r="E349" s="180">
        <f t="shared" si="10"/>
        <v>-9.615384615384617</v>
      </c>
      <c r="F349" s="181">
        <f>462+47</f>
        <v>509</v>
      </c>
    </row>
    <row r="350" spans="1:6" ht="20.25" customHeight="1">
      <c r="A350" s="176" t="s">
        <v>591</v>
      </c>
      <c r="B350" s="179">
        <v>206</v>
      </c>
      <c r="C350" s="178"/>
      <c r="D350" s="179">
        <f>C350-B350</f>
        <v>-206</v>
      </c>
      <c r="E350" s="180">
        <f>D350/B350*100</f>
        <v>-100</v>
      </c>
      <c r="F350" s="181">
        <v>4291</v>
      </c>
    </row>
    <row r="351" spans="1:6" ht="20.25" customHeight="1">
      <c r="A351" s="176" t="s">
        <v>592</v>
      </c>
      <c r="B351" s="179"/>
      <c r="C351" s="178"/>
      <c r="D351" s="179">
        <f>C351-B351</f>
        <v>0</v>
      </c>
      <c r="E351" s="180"/>
      <c r="F351" s="181">
        <v>925</v>
      </c>
    </row>
    <row r="352" spans="1:6" ht="20.25" customHeight="1">
      <c r="A352" s="176" t="s">
        <v>593</v>
      </c>
      <c r="B352" s="179">
        <v>60</v>
      </c>
      <c r="C352" s="178">
        <v>60</v>
      </c>
      <c r="D352" s="179">
        <f t="shared" si="9"/>
        <v>0</v>
      </c>
      <c r="E352" s="180">
        <f t="shared" si="10"/>
        <v>0</v>
      </c>
      <c r="F352" s="181">
        <v>60</v>
      </c>
    </row>
    <row r="353" spans="1:6" ht="20.25" customHeight="1">
      <c r="A353" s="176" t="s">
        <v>594</v>
      </c>
      <c r="B353" s="179"/>
      <c r="C353" s="178"/>
      <c r="D353" s="179">
        <f>C353-B353</f>
        <v>0</v>
      </c>
      <c r="E353" s="180"/>
      <c r="F353" s="181">
        <v>61</v>
      </c>
    </row>
    <row r="354" spans="1:6" ht="20.25" customHeight="1">
      <c r="A354" s="176" t="s">
        <v>595</v>
      </c>
      <c r="B354" s="179"/>
      <c r="C354" s="178"/>
      <c r="D354" s="179">
        <f>C354-B354</f>
        <v>0</v>
      </c>
      <c r="E354" s="180"/>
      <c r="F354" s="181"/>
    </row>
    <row r="355" spans="1:6" ht="20.25" customHeight="1">
      <c r="A355" s="176" t="s">
        <v>180</v>
      </c>
      <c r="B355" s="179">
        <v>19</v>
      </c>
      <c r="C355" s="178">
        <v>19</v>
      </c>
      <c r="D355" s="179">
        <f t="shared" si="9"/>
        <v>0</v>
      </c>
      <c r="E355" s="180">
        <f t="shared" si="10"/>
        <v>0</v>
      </c>
      <c r="F355" s="181">
        <v>19</v>
      </c>
    </row>
    <row r="356" spans="1:6" ht="20.25" customHeight="1">
      <c r="A356" s="173" t="s">
        <v>181</v>
      </c>
      <c r="B356" s="168">
        <f>SUM(B357:B360)</f>
        <v>35</v>
      </c>
      <c r="C356" s="168">
        <f>SUM(C357:C360)</f>
        <v>31</v>
      </c>
      <c r="D356" s="168">
        <f t="shared" si="9"/>
        <v>-4</v>
      </c>
      <c r="E356" s="169">
        <f t="shared" si="10"/>
        <v>-11.428571428571429</v>
      </c>
      <c r="F356" s="170">
        <f>SUM(F357:F360)</f>
        <v>3476</v>
      </c>
    </row>
    <row r="357" spans="1:6" ht="20.25" customHeight="1">
      <c r="A357" s="176" t="s">
        <v>596</v>
      </c>
      <c r="B357" s="179">
        <v>35</v>
      </c>
      <c r="C357" s="178">
        <v>31</v>
      </c>
      <c r="D357" s="179">
        <f t="shared" si="9"/>
        <v>-4</v>
      </c>
      <c r="E357" s="180">
        <f t="shared" si="10"/>
        <v>-11.428571428571429</v>
      </c>
      <c r="F357" s="181">
        <v>31</v>
      </c>
    </row>
    <row r="358" spans="1:6" ht="20.25" customHeight="1">
      <c r="A358" s="189" t="s">
        <v>597</v>
      </c>
      <c r="B358" s="179"/>
      <c r="C358" s="178"/>
      <c r="D358" s="179">
        <f t="shared" si="9"/>
        <v>0</v>
      </c>
      <c r="E358" s="180"/>
      <c r="F358" s="181"/>
    </row>
    <row r="359" spans="1:6" ht="20.25" customHeight="1">
      <c r="A359" s="189" t="s">
        <v>598</v>
      </c>
      <c r="B359" s="179"/>
      <c r="C359" s="178"/>
      <c r="D359" s="179">
        <f t="shared" si="9"/>
        <v>0</v>
      </c>
      <c r="E359" s="180"/>
      <c r="F359" s="181"/>
    </row>
    <row r="360" spans="1:6" ht="20.25" customHeight="1">
      <c r="A360" s="188" t="s">
        <v>599</v>
      </c>
      <c r="B360" s="179"/>
      <c r="C360" s="178"/>
      <c r="D360" s="179">
        <f t="shared" si="9"/>
        <v>0</v>
      </c>
      <c r="E360" s="180"/>
      <c r="F360" s="181">
        <v>3445</v>
      </c>
    </row>
    <row r="361" spans="1:6" ht="20.25" customHeight="1">
      <c r="A361" s="173" t="s">
        <v>182</v>
      </c>
      <c r="B361" s="168">
        <f>SUM(B362:B364)</f>
        <v>10</v>
      </c>
      <c r="C361" s="168">
        <f>SUM(C362:C364)</f>
        <v>20</v>
      </c>
      <c r="D361" s="168">
        <f t="shared" si="9"/>
        <v>10</v>
      </c>
      <c r="E361" s="169">
        <f t="shared" si="10"/>
        <v>100</v>
      </c>
      <c r="F361" s="170">
        <f>SUM(F362:F364)</f>
        <v>4372</v>
      </c>
    </row>
    <row r="362" spans="1:6" ht="20.25" customHeight="1">
      <c r="A362" s="188" t="s">
        <v>600</v>
      </c>
      <c r="B362" s="179"/>
      <c r="C362" s="178"/>
      <c r="D362" s="179">
        <f t="shared" si="9"/>
        <v>0</v>
      </c>
      <c r="E362" s="180"/>
      <c r="F362" s="181">
        <v>4352</v>
      </c>
    </row>
    <row r="363" spans="1:6" ht="20.25" customHeight="1">
      <c r="A363" s="188" t="s">
        <v>601</v>
      </c>
      <c r="B363" s="179"/>
      <c r="C363" s="178"/>
      <c r="D363" s="179">
        <f t="shared" si="9"/>
        <v>0</v>
      </c>
      <c r="E363" s="180"/>
      <c r="F363" s="181"/>
    </row>
    <row r="364" spans="1:6" ht="20.25" customHeight="1">
      <c r="A364" s="176" t="s">
        <v>183</v>
      </c>
      <c r="B364" s="179">
        <v>10</v>
      </c>
      <c r="C364" s="178">
        <v>20</v>
      </c>
      <c r="D364" s="179">
        <f t="shared" si="9"/>
        <v>10</v>
      </c>
      <c r="E364" s="180">
        <f t="shared" si="10"/>
        <v>100</v>
      </c>
      <c r="F364" s="181">
        <v>20</v>
      </c>
    </row>
    <row r="365" spans="1:6" ht="20.25" customHeight="1">
      <c r="A365" s="173" t="s">
        <v>184</v>
      </c>
      <c r="B365" s="168">
        <f>SUM(B366:B370)</f>
        <v>1644</v>
      </c>
      <c r="C365" s="168">
        <f>SUM(C366:C371)</f>
        <v>1555</v>
      </c>
      <c r="D365" s="168">
        <f t="shared" si="9"/>
        <v>-89</v>
      </c>
      <c r="E365" s="169">
        <f t="shared" si="10"/>
        <v>-5.413625304136254</v>
      </c>
      <c r="F365" s="170">
        <f>SUM(F366:F371)</f>
        <v>7166</v>
      </c>
    </row>
    <row r="366" spans="1:6" ht="20.25" customHeight="1">
      <c r="A366" s="176" t="s">
        <v>602</v>
      </c>
      <c r="B366" s="179">
        <f>747-22</f>
        <v>725</v>
      </c>
      <c r="C366" s="178">
        <v>600</v>
      </c>
      <c r="D366" s="179">
        <f t="shared" si="9"/>
        <v>-125</v>
      </c>
      <c r="E366" s="180">
        <f t="shared" si="10"/>
        <v>-17.24137931034483</v>
      </c>
      <c r="F366" s="181">
        <f>3641+600</f>
        <v>4241</v>
      </c>
    </row>
    <row r="367" spans="1:6" ht="20.25" customHeight="1">
      <c r="A367" s="188" t="s">
        <v>603</v>
      </c>
      <c r="B367" s="179"/>
      <c r="C367" s="178"/>
      <c r="D367" s="179">
        <f t="shared" si="9"/>
        <v>0</v>
      </c>
      <c r="E367" s="180"/>
      <c r="F367" s="181"/>
    </row>
    <row r="368" spans="1:6" ht="20.25" customHeight="1">
      <c r="A368" s="176" t="s">
        <v>604</v>
      </c>
      <c r="B368" s="179">
        <v>919</v>
      </c>
      <c r="C368" s="178">
        <v>955</v>
      </c>
      <c r="D368" s="179">
        <f t="shared" si="9"/>
        <v>36</v>
      </c>
      <c r="E368" s="180">
        <f t="shared" si="10"/>
        <v>3.917301414581066</v>
      </c>
      <c r="F368" s="181">
        <v>955</v>
      </c>
    </row>
    <row r="369" spans="1:6" ht="20.25" customHeight="1">
      <c r="A369" s="176" t="s">
        <v>750</v>
      </c>
      <c r="B369" s="179"/>
      <c r="C369" s="178"/>
      <c r="D369" s="179">
        <f>C369-B369</f>
        <v>0</v>
      </c>
      <c r="E369" s="180"/>
      <c r="F369" s="181">
        <v>1500</v>
      </c>
    </row>
    <row r="370" spans="1:6" ht="20.25" customHeight="1">
      <c r="A370" s="188" t="s">
        <v>605</v>
      </c>
      <c r="B370" s="179"/>
      <c r="C370" s="178"/>
      <c r="D370" s="179">
        <f>C370-B370</f>
        <v>0</v>
      </c>
      <c r="E370" s="180"/>
      <c r="F370" s="181">
        <v>470</v>
      </c>
    </row>
    <row r="371" spans="1:6" ht="20.25" customHeight="1">
      <c r="A371" s="188" t="s">
        <v>606</v>
      </c>
      <c r="B371" s="179"/>
      <c r="C371" s="178"/>
      <c r="D371" s="179">
        <f>C371-B371</f>
        <v>0</v>
      </c>
      <c r="E371" s="180"/>
      <c r="F371" s="181"/>
    </row>
    <row r="372" spans="1:6" ht="20.25" customHeight="1">
      <c r="A372" s="192" t="s">
        <v>607</v>
      </c>
      <c r="B372" s="183">
        <f>SUM(B373:B374)</f>
        <v>22</v>
      </c>
      <c r="C372" s="183">
        <f>SUM(C373:C374)</f>
        <v>171</v>
      </c>
      <c r="D372" s="168">
        <f t="shared" si="9"/>
        <v>149</v>
      </c>
      <c r="E372" s="169">
        <f t="shared" si="10"/>
        <v>677.2727272727273</v>
      </c>
      <c r="F372" s="184">
        <f>F373+F374</f>
        <v>328</v>
      </c>
    </row>
    <row r="373" spans="1:6" ht="20.25" customHeight="1">
      <c r="A373" s="188" t="s">
        <v>727</v>
      </c>
      <c r="B373" s="179"/>
      <c r="C373" s="178">
        <v>141</v>
      </c>
      <c r="D373" s="179"/>
      <c r="E373" s="180"/>
      <c r="F373" s="181">
        <v>141</v>
      </c>
    </row>
    <row r="374" spans="1:6" ht="20.25" customHeight="1">
      <c r="A374" s="188" t="s">
        <v>728</v>
      </c>
      <c r="B374" s="179">
        <v>22</v>
      </c>
      <c r="C374" s="178">
        <v>30</v>
      </c>
      <c r="D374" s="179"/>
      <c r="E374" s="180">
        <f t="shared" si="10"/>
        <v>0</v>
      </c>
      <c r="F374" s="181">
        <f>157+30</f>
        <v>187</v>
      </c>
    </row>
    <row r="375" spans="1:6" ht="20.25" customHeight="1">
      <c r="A375" s="173" t="s">
        <v>608</v>
      </c>
      <c r="B375" s="168">
        <f>SUM(B376:B377)</f>
        <v>0</v>
      </c>
      <c r="C375" s="168">
        <f>SUM(C376:C377)</f>
        <v>0</v>
      </c>
      <c r="D375" s="168">
        <f t="shared" si="9"/>
        <v>0</v>
      </c>
      <c r="E375" s="169"/>
      <c r="F375" s="170">
        <f>SUM(F376:F377)</f>
        <v>0</v>
      </c>
    </row>
    <row r="376" spans="1:6" ht="20.25" customHeight="1">
      <c r="A376" s="176" t="s">
        <v>178</v>
      </c>
      <c r="B376" s="179"/>
      <c r="C376" s="178"/>
      <c r="D376" s="179">
        <f t="shared" si="9"/>
        <v>0</v>
      </c>
      <c r="E376" s="180"/>
      <c r="F376" s="181"/>
    </row>
    <row r="377" spans="1:6" ht="20.25" customHeight="1">
      <c r="A377" s="176" t="s">
        <v>609</v>
      </c>
      <c r="B377" s="179"/>
      <c r="C377" s="178"/>
      <c r="D377" s="179">
        <f t="shared" si="9"/>
        <v>0</v>
      </c>
      <c r="E377" s="180"/>
      <c r="F377" s="181"/>
    </row>
    <row r="378" spans="1:6" ht="20.25" customHeight="1">
      <c r="A378" s="173" t="s">
        <v>185</v>
      </c>
      <c r="B378" s="183">
        <f>B379</f>
        <v>23</v>
      </c>
      <c r="C378" s="183">
        <f>C379</f>
        <v>0</v>
      </c>
      <c r="D378" s="168">
        <f t="shared" si="9"/>
        <v>-23</v>
      </c>
      <c r="E378" s="180">
        <f t="shared" si="10"/>
        <v>-100</v>
      </c>
      <c r="F378" s="184">
        <f>F379</f>
        <v>10</v>
      </c>
    </row>
    <row r="379" spans="1:6" ht="20.25" customHeight="1">
      <c r="A379" s="176" t="s">
        <v>186</v>
      </c>
      <c r="B379" s="179">
        <v>23</v>
      </c>
      <c r="C379" s="178"/>
      <c r="D379" s="179">
        <f t="shared" si="9"/>
        <v>-23</v>
      </c>
      <c r="E379" s="180">
        <f t="shared" si="10"/>
        <v>-100</v>
      </c>
      <c r="F379" s="181">
        <v>10</v>
      </c>
    </row>
    <row r="380" spans="1:6" ht="20.25" customHeight="1">
      <c r="A380" s="173" t="s">
        <v>610</v>
      </c>
      <c r="B380" s="168">
        <f>B381</f>
        <v>272</v>
      </c>
      <c r="C380" s="168">
        <f>C381</f>
        <v>74</v>
      </c>
      <c r="D380" s="168">
        <f t="shared" si="9"/>
        <v>-198</v>
      </c>
      <c r="E380" s="169">
        <f t="shared" si="10"/>
        <v>-72.79411764705883</v>
      </c>
      <c r="F380" s="170">
        <f>F381+F386</f>
        <v>5447</v>
      </c>
    </row>
    <row r="381" spans="1:6" ht="20.25" customHeight="1">
      <c r="A381" s="173" t="s">
        <v>187</v>
      </c>
      <c r="B381" s="168">
        <f>SUM(B382:B385)</f>
        <v>272</v>
      </c>
      <c r="C381" s="168">
        <f>SUM(C382:C385)</f>
        <v>74</v>
      </c>
      <c r="D381" s="168">
        <f t="shared" si="9"/>
        <v>-198</v>
      </c>
      <c r="E381" s="169">
        <f t="shared" si="10"/>
        <v>-72.79411764705883</v>
      </c>
      <c r="F381" s="170">
        <f>SUM(F382:F385)</f>
        <v>5405</v>
      </c>
    </row>
    <row r="382" spans="1:6" ht="20.25" customHeight="1">
      <c r="A382" s="176" t="s">
        <v>611</v>
      </c>
      <c r="B382" s="179">
        <v>75</v>
      </c>
      <c r="C382" s="178">
        <v>74</v>
      </c>
      <c r="D382" s="179">
        <f t="shared" si="9"/>
        <v>-1</v>
      </c>
      <c r="E382" s="180">
        <f t="shared" si="10"/>
        <v>-1.3333333333333335</v>
      </c>
      <c r="F382" s="181">
        <v>74</v>
      </c>
    </row>
    <row r="383" spans="1:6" ht="20.25" customHeight="1">
      <c r="A383" s="185" t="s">
        <v>612</v>
      </c>
      <c r="B383" s="179">
        <v>100</v>
      </c>
      <c r="C383" s="178"/>
      <c r="D383" s="179">
        <f>C383-B383</f>
        <v>-100</v>
      </c>
      <c r="E383" s="180">
        <f>D383/B383*100</f>
        <v>-100</v>
      </c>
      <c r="F383" s="181"/>
    </row>
    <row r="384" spans="1:6" ht="20.25" customHeight="1">
      <c r="A384" s="185" t="s">
        <v>751</v>
      </c>
      <c r="B384" s="179"/>
      <c r="C384" s="178"/>
      <c r="D384" s="179">
        <f>C384-B384</f>
        <v>0</v>
      </c>
      <c r="E384" s="180"/>
      <c r="F384" s="181">
        <v>5331</v>
      </c>
    </row>
    <row r="385" spans="1:6" ht="20.25" customHeight="1">
      <c r="A385" s="176" t="s">
        <v>613</v>
      </c>
      <c r="B385" s="179">
        <v>97</v>
      </c>
      <c r="C385" s="178"/>
      <c r="D385" s="179">
        <f>C385-B385</f>
        <v>-97</v>
      </c>
      <c r="E385" s="180">
        <f>D385/B385*100</f>
        <v>-100</v>
      </c>
      <c r="F385" s="181"/>
    </row>
    <row r="386" spans="1:6" ht="20.25" customHeight="1">
      <c r="A386" s="173" t="s">
        <v>740</v>
      </c>
      <c r="B386" s="168">
        <f>SUM(B387:B387)</f>
        <v>0</v>
      </c>
      <c r="C386" s="168">
        <f>SUM(C387)</f>
        <v>0</v>
      </c>
      <c r="D386" s="168">
        <f>C386-B386</f>
        <v>0</v>
      </c>
      <c r="E386" s="169"/>
      <c r="F386" s="170">
        <f>SUM(F387)</f>
        <v>42</v>
      </c>
    </row>
    <row r="387" spans="1:6" ht="20.25" customHeight="1">
      <c r="A387" s="176" t="s">
        <v>741</v>
      </c>
      <c r="B387" s="179"/>
      <c r="C387" s="178"/>
      <c r="D387" s="179"/>
      <c r="E387" s="180"/>
      <c r="F387" s="181">
        <f>42</f>
        <v>42</v>
      </c>
    </row>
    <row r="388" spans="1:6" ht="20.25" customHeight="1">
      <c r="A388" s="173" t="s">
        <v>614</v>
      </c>
      <c r="B388" s="168">
        <f>B389+B391+B395+B398</f>
        <v>917</v>
      </c>
      <c r="C388" s="168">
        <f>C389+C391+C395+C398</f>
        <v>1116</v>
      </c>
      <c r="D388" s="168">
        <f t="shared" si="9"/>
        <v>199</v>
      </c>
      <c r="E388" s="169">
        <f t="shared" si="10"/>
        <v>21.701199563794983</v>
      </c>
      <c r="F388" s="170">
        <f>F389+F391+F395+F398</f>
        <v>1116</v>
      </c>
    </row>
    <row r="389" spans="1:6" ht="20.25" customHeight="1">
      <c r="A389" s="173" t="s">
        <v>188</v>
      </c>
      <c r="B389" s="168">
        <f>B390</f>
        <v>533</v>
      </c>
      <c r="C389" s="168">
        <f>C390</f>
        <v>329</v>
      </c>
      <c r="D389" s="168">
        <f aca="true" t="shared" si="12" ref="D389:D446">C389-B389</f>
        <v>-204</v>
      </c>
      <c r="E389" s="169">
        <f aca="true" t="shared" si="13" ref="E389:E446">D389/B389*100</f>
        <v>-38.27392120075047</v>
      </c>
      <c r="F389" s="170">
        <f>F390</f>
        <v>329</v>
      </c>
    </row>
    <row r="390" spans="1:6" ht="20.25" customHeight="1">
      <c r="A390" s="176" t="s">
        <v>189</v>
      </c>
      <c r="B390" s="179">
        <v>533</v>
      </c>
      <c r="C390" s="178">
        <v>329</v>
      </c>
      <c r="D390" s="179">
        <f t="shared" si="12"/>
        <v>-204</v>
      </c>
      <c r="E390" s="180">
        <f t="shared" si="13"/>
        <v>-38.27392120075047</v>
      </c>
      <c r="F390" s="181">
        <v>329</v>
      </c>
    </row>
    <row r="391" spans="1:6" ht="20.25" customHeight="1">
      <c r="A391" s="173" t="s">
        <v>190</v>
      </c>
      <c r="B391" s="168">
        <f>SUM(B392:B394)</f>
        <v>173</v>
      </c>
      <c r="C391" s="168">
        <f>SUM(C392:C394)</f>
        <v>497</v>
      </c>
      <c r="D391" s="168">
        <f t="shared" si="12"/>
        <v>324</v>
      </c>
      <c r="E391" s="169">
        <f t="shared" si="13"/>
        <v>187.28323699421964</v>
      </c>
      <c r="F391" s="170">
        <f>SUM(F392:F394)</f>
        <v>497</v>
      </c>
    </row>
    <row r="392" spans="1:6" ht="20.25" customHeight="1">
      <c r="A392" s="176" t="s">
        <v>615</v>
      </c>
      <c r="B392" s="179">
        <v>49</v>
      </c>
      <c r="C392" s="178">
        <v>55</v>
      </c>
      <c r="D392" s="179">
        <f t="shared" si="12"/>
        <v>6</v>
      </c>
      <c r="E392" s="180">
        <f t="shared" si="13"/>
        <v>12.244897959183673</v>
      </c>
      <c r="F392" s="181">
        <v>55</v>
      </c>
    </row>
    <row r="393" spans="1:6" ht="20.25" customHeight="1">
      <c r="A393" s="176" t="s">
        <v>616</v>
      </c>
      <c r="B393" s="179">
        <v>83</v>
      </c>
      <c r="C393" s="178">
        <v>77</v>
      </c>
      <c r="D393" s="179">
        <f t="shared" si="12"/>
        <v>-6</v>
      </c>
      <c r="E393" s="180">
        <f t="shared" si="13"/>
        <v>-7.228915662650602</v>
      </c>
      <c r="F393" s="181">
        <v>77</v>
      </c>
    </row>
    <row r="394" spans="1:6" ht="20.25" customHeight="1">
      <c r="A394" s="176" t="s">
        <v>617</v>
      </c>
      <c r="B394" s="179">
        <v>41</v>
      </c>
      <c r="C394" s="178">
        <v>365</v>
      </c>
      <c r="D394" s="179">
        <f t="shared" si="12"/>
        <v>324</v>
      </c>
      <c r="E394" s="180">
        <f t="shared" si="13"/>
        <v>790.2439024390244</v>
      </c>
      <c r="F394" s="181">
        <v>365</v>
      </c>
    </row>
    <row r="395" spans="1:6" ht="20.25" customHeight="1">
      <c r="A395" s="173" t="s">
        <v>191</v>
      </c>
      <c r="B395" s="168">
        <f>SUM(B396:B397)</f>
        <v>211</v>
      </c>
      <c r="C395" s="168">
        <f>SUM(C396:C397)</f>
        <v>92</v>
      </c>
      <c r="D395" s="168">
        <f t="shared" si="12"/>
        <v>-119</v>
      </c>
      <c r="E395" s="169">
        <f t="shared" si="13"/>
        <v>-56.39810426540285</v>
      </c>
      <c r="F395" s="170">
        <f>SUM(F396:F397)</f>
        <v>92</v>
      </c>
    </row>
    <row r="396" spans="1:6" ht="20.25" customHeight="1">
      <c r="A396" s="176" t="s">
        <v>618</v>
      </c>
      <c r="B396" s="179">
        <v>49</v>
      </c>
      <c r="C396" s="178">
        <v>42</v>
      </c>
      <c r="D396" s="179">
        <f t="shared" si="12"/>
        <v>-7</v>
      </c>
      <c r="E396" s="180">
        <f t="shared" si="13"/>
        <v>-14.285714285714285</v>
      </c>
      <c r="F396" s="181">
        <v>42</v>
      </c>
    </row>
    <row r="397" spans="1:6" ht="20.25" customHeight="1">
      <c r="A397" s="176" t="s">
        <v>192</v>
      </c>
      <c r="B397" s="179">
        <v>162</v>
      </c>
      <c r="C397" s="178">
        <v>50</v>
      </c>
      <c r="D397" s="179">
        <f t="shared" si="12"/>
        <v>-112</v>
      </c>
      <c r="E397" s="180">
        <f t="shared" si="13"/>
        <v>-69.1358024691358</v>
      </c>
      <c r="F397" s="181">
        <v>50</v>
      </c>
    </row>
    <row r="398" spans="1:6" ht="20.25" customHeight="1">
      <c r="A398" s="173" t="s">
        <v>730</v>
      </c>
      <c r="B398" s="168">
        <f>SUM(B399:B400)</f>
        <v>0</v>
      </c>
      <c r="C398" s="168">
        <f>SUM(C399:C400)</f>
        <v>198</v>
      </c>
      <c r="D398" s="168">
        <f>C398-B398</f>
        <v>198</v>
      </c>
      <c r="E398" s="169"/>
      <c r="F398" s="170">
        <f>SUM(F399:F400)</f>
        <v>198</v>
      </c>
    </row>
    <row r="399" spans="1:6" ht="20.25" customHeight="1">
      <c r="A399" s="176" t="s">
        <v>752</v>
      </c>
      <c r="B399" s="179"/>
      <c r="C399" s="178">
        <v>112</v>
      </c>
      <c r="D399" s="179">
        <f>C399-B399</f>
        <v>112</v>
      </c>
      <c r="E399" s="180"/>
      <c r="F399" s="181">
        <v>112</v>
      </c>
    </row>
    <row r="400" spans="1:6" ht="20.25" customHeight="1">
      <c r="A400" s="176" t="s">
        <v>731</v>
      </c>
      <c r="B400" s="179"/>
      <c r="C400" s="178">
        <v>86</v>
      </c>
      <c r="D400" s="179">
        <f>C400-B400</f>
        <v>86</v>
      </c>
      <c r="E400" s="180"/>
      <c r="F400" s="181">
        <v>86</v>
      </c>
    </row>
    <row r="401" spans="1:6" ht="20.25" customHeight="1">
      <c r="A401" s="173" t="s">
        <v>619</v>
      </c>
      <c r="B401" s="168">
        <f>B402+B405</f>
        <v>631</v>
      </c>
      <c r="C401" s="168">
        <f>C402+C405</f>
        <v>206</v>
      </c>
      <c r="D401" s="168">
        <f t="shared" si="12"/>
        <v>-425</v>
      </c>
      <c r="E401" s="169">
        <f t="shared" si="13"/>
        <v>-67.35340729001584</v>
      </c>
      <c r="F401" s="170">
        <f>F402+F405</f>
        <v>206</v>
      </c>
    </row>
    <row r="402" spans="1:6" ht="20.25" customHeight="1">
      <c r="A402" s="173" t="s">
        <v>620</v>
      </c>
      <c r="B402" s="168">
        <f>SUM(B403:B404)</f>
        <v>119</v>
      </c>
      <c r="C402" s="168">
        <f>SUM(C403:C403)</f>
        <v>80</v>
      </c>
      <c r="D402" s="168">
        <f t="shared" si="12"/>
        <v>-39</v>
      </c>
      <c r="E402" s="169">
        <f t="shared" si="13"/>
        <v>-32.773109243697476</v>
      </c>
      <c r="F402" s="170">
        <f>SUM(F403:F403)</f>
        <v>80</v>
      </c>
    </row>
    <row r="403" spans="1:6" ht="20.25" customHeight="1">
      <c r="A403" s="185" t="s">
        <v>621</v>
      </c>
      <c r="B403" s="179">
        <v>102</v>
      </c>
      <c r="C403" s="178">
        <v>80</v>
      </c>
      <c r="D403" s="179">
        <f t="shared" si="12"/>
        <v>-22</v>
      </c>
      <c r="E403" s="180">
        <f t="shared" si="13"/>
        <v>-21.568627450980394</v>
      </c>
      <c r="F403" s="181">
        <v>80</v>
      </c>
    </row>
    <row r="404" spans="1:6" ht="20.25" customHeight="1">
      <c r="A404" s="185" t="s">
        <v>753</v>
      </c>
      <c r="B404" s="179">
        <v>17</v>
      </c>
      <c r="C404" s="178"/>
      <c r="D404" s="179">
        <f>C404-B404</f>
        <v>-17</v>
      </c>
      <c r="E404" s="180">
        <f>D404/B404*100</f>
        <v>-100</v>
      </c>
      <c r="F404" s="181"/>
    </row>
    <row r="405" spans="1:6" ht="20.25" customHeight="1">
      <c r="A405" s="173" t="s">
        <v>193</v>
      </c>
      <c r="B405" s="168">
        <f>SUM(B406:B409)</f>
        <v>512</v>
      </c>
      <c r="C405" s="168">
        <f>SUM(C406:C409)</f>
        <v>126</v>
      </c>
      <c r="D405" s="168">
        <f t="shared" si="12"/>
        <v>-386</v>
      </c>
      <c r="E405" s="169">
        <f t="shared" si="13"/>
        <v>-75.390625</v>
      </c>
      <c r="F405" s="170">
        <f>SUM(F406:F409)</f>
        <v>126</v>
      </c>
    </row>
    <row r="406" spans="1:6" ht="20.25" customHeight="1">
      <c r="A406" s="176" t="s">
        <v>622</v>
      </c>
      <c r="B406" s="179">
        <v>64</v>
      </c>
      <c r="C406" s="178">
        <v>68</v>
      </c>
      <c r="D406" s="179">
        <f t="shared" si="12"/>
        <v>4</v>
      </c>
      <c r="E406" s="180">
        <f t="shared" si="13"/>
        <v>6.25</v>
      </c>
      <c r="F406" s="181">
        <v>68</v>
      </c>
    </row>
    <row r="407" spans="1:6" ht="20.25" customHeight="1">
      <c r="A407" s="176" t="s">
        <v>754</v>
      </c>
      <c r="B407" s="179"/>
      <c r="C407" s="178">
        <v>20</v>
      </c>
      <c r="D407" s="179">
        <f t="shared" si="12"/>
        <v>20</v>
      </c>
      <c r="E407" s="180"/>
      <c r="F407" s="181">
        <v>20</v>
      </c>
    </row>
    <row r="408" spans="1:6" ht="20.25" customHeight="1">
      <c r="A408" s="176" t="s">
        <v>194</v>
      </c>
      <c r="B408" s="179">
        <v>200</v>
      </c>
      <c r="C408" s="178">
        <v>38</v>
      </c>
      <c r="D408" s="179">
        <f t="shared" si="12"/>
        <v>-162</v>
      </c>
      <c r="E408" s="180">
        <f t="shared" si="13"/>
        <v>-81</v>
      </c>
      <c r="F408" s="181">
        <v>38</v>
      </c>
    </row>
    <row r="409" spans="1:6" ht="20.25" customHeight="1">
      <c r="A409" s="176" t="s">
        <v>755</v>
      </c>
      <c r="B409" s="179">
        <v>248</v>
      </c>
      <c r="C409" s="178"/>
      <c r="D409" s="179"/>
      <c r="E409" s="180"/>
      <c r="F409" s="181"/>
    </row>
    <row r="410" spans="1:6" ht="20.25" customHeight="1">
      <c r="A410" s="173" t="s">
        <v>623</v>
      </c>
      <c r="B410" s="168">
        <f>B411+B418</f>
        <v>286</v>
      </c>
      <c r="C410" s="168">
        <f>C411+C418</f>
        <v>266</v>
      </c>
      <c r="D410" s="168">
        <f t="shared" si="12"/>
        <v>-20</v>
      </c>
      <c r="E410" s="169">
        <f t="shared" si="13"/>
        <v>-6.993006993006993</v>
      </c>
      <c r="F410" s="170">
        <f>F411+F418</f>
        <v>923</v>
      </c>
    </row>
    <row r="411" spans="1:6" ht="20.25" customHeight="1">
      <c r="A411" s="173" t="s">
        <v>195</v>
      </c>
      <c r="B411" s="168">
        <f>SUM(B412:B417)</f>
        <v>250</v>
      </c>
      <c r="C411" s="168">
        <f>SUM(C412:C417)</f>
        <v>239</v>
      </c>
      <c r="D411" s="168">
        <f t="shared" si="12"/>
        <v>-11</v>
      </c>
      <c r="E411" s="169">
        <f t="shared" si="13"/>
        <v>-4.3999999999999995</v>
      </c>
      <c r="F411" s="170">
        <f>SUM(F412:F417)</f>
        <v>896</v>
      </c>
    </row>
    <row r="412" spans="1:6" ht="20.25" customHeight="1">
      <c r="A412" s="176" t="s">
        <v>624</v>
      </c>
      <c r="B412" s="179">
        <v>155</v>
      </c>
      <c r="C412" s="178">
        <v>159</v>
      </c>
      <c r="D412" s="179">
        <f t="shared" si="12"/>
        <v>4</v>
      </c>
      <c r="E412" s="180">
        <f t="shared" si="13"/>
        <v>2.5806451612903225</v>
      </c>
      <c r="F412" s="181">
        <v>159</v>
      </c>
    </row>
    <row r="413" spans="1:6" ht="20.25" customHeight="1">
      <c r="A413" s="176" t="s">
        <v>625</v>
      </c>
      <c r="B413" s="179"/>
      <c r="C413" s="178"/>
      <c r="D413" s="179">
        <f t="shared" si="12"/>
        <v>0</v>
      </c>
      <c r="E413" s="180"/>
      <c r="F413" s="181"/>
    </row>
    <row r="414" spans="1:6" ht="20.25" customHeight="1">
      <c r="A414" s="176" t="s">
        <v>626</v>
      </c>
      <c r="B414" s="179">
        <v>60</v>
      </c>
      <c r="C414" s="178">
        <v>67</v>
      </c>
      <c r="D414" s="179">
        <f t="shared" si="12"/>
        <v>7</v>
      </c>
      <c r="E414" s="180">
        <f t="shared" si="13"/>
        <v>11.666666666666666</v>
      </c>
      <c r="F414" s="181">
        <v>67</v>
      </c>
    </row>
    <row r="415" spans="1:6" ht="20.25" customHeight="1">
      <c r="A415" s="176" t="s">
        <v>756</v>
      </c>
      <c r="B415" s="179"/>
      <c r="C415" s="178"/>
      <c r="D415" s="179">
        <f>C415-B415</f>
        <v>0</v>
      </c>
      <c r="E415" s="180"/>
      <c r="F415" s="181">
        <v>387</v>
      </c>
    </row>
    <row r="416" spans="1:6" ht="20.25" customHeight="1">
      <c r="A416" s="176" t="s">
        <v>757</v>
      </c>
      <c r="B416" s="179"/>
      <c r="C416" s="178"/>
      <c r="D416" s="179">
        <f>C416-B416</f>
        <v>0</v>
      </c>
      <c r="E416" s="180"/>
      <c r="F416" s="181">
        <v>270</v>
      </c>
    </row>
    <row r="417" spans="1:6" ht="20.25" customHeight="1">
      <c r="A417" s="176" t="s">
        <v>196</v>
      </c>
      <c r="B417" s="179">
        <v>35</v>
      </c>
      <c r="C417" s="178">
        <v>13</v>
      </c>
      <c r="D417" s="179">
        <f t="shared" si="12"/>
        <v>-22</v>
      </c>
      <c r="E417" s="180">
        <f t="shared" si="13"/>
        <v>-62.857142857142854</v>
      </c>
      <c r="F417" s="181">
        <v>13</v>
      </c>
    </row>
    <row r="418" spans="1:6" ht="20.25" customHeight="1">
      <c r="A418" s="173" t="s">
        <v>197</v>
      </c>
      <c r="B418" s="168">
        <f>SUM(B419:B421)</f>
        <v>36</v>
      </c>
      <c r="C418" s="168">
        <f>SUM(C419:C421)</f>
        <v>27</v>
      </c>
      <c r="D418" s="168">
        <f t="shared" si="12"/>
        <v>-9</v>
      </c>
      <c r="E418" s="169">
        <f t="shared" si="13"/>
        <v>-25</v>
      </c>
      <c r="F418" s="170">
        <f>SUM(F419:F421)</f>
        <v>27</v>
      </c>
    </row>
    <row r="419" spans="1:6" ht="20.25" customHeight="1">
      <c r="A419" s="176" t="s">
        <v>627</v>
      </c>
      <c r="B419" s="179">
        <v>13</v>
      </c>
      <c r="C419" s="178">
        <v>13</v>
      </c>
      <c r="D419" s="179">
        <f t="shared" si="12"/>
        <v>0</v>
      </c>
      <c r="E419" s="180">
        <f t="shared" si="13"/>
        <v>0</v>
      </c>
      <c r="F419" s="181">
        <v>13</v>
      </c>
    </row>
    <row r="420" spans="1:6" ht="20.25" customHeight="1">
      <c r="A420" s="176" t="s">
        <v>746</v>
      </c>
      <c r="B420" s="179">
        <v>17</v>
      </c>
      <c r="C420" s="178">
        <v>14</v>
      </c>
      <c r="D420" s="179">
        <f t="shared" si="12"/>
        <v>-3</v>
      </c>
      <c r="E420" s="180">
        <f t="shared" si="13"/>
        <v>-17.647058823529413</v>
      </c>
      <c r="F420" s="181">
        <v>14</v>
      </c>
    </row>
    <row r="421" spans="1:6" ht="20.25" customHeight="1">
      <c r="A421" s="176" t="s">
        <v>628</v>
      </c>
      <c r="B421" s="179">
        <v>6</v>
      </c>
      <c r="C421" s="178"/>
      <c r="D421" s="179">
        <f t="shared" si="12"/>
        <v>-6</v>
      </c>
      <c r="E421" s="180">
        <f t="shared" si="13"/>
        <v>-100</v>
      </c>
      <c r="F421" s="181"/>
    </row>
    <row r="422" spans="1:6" ht="20.25" customHeight="1">
      <c r="A422" s="173" t="s">
        <v>629</v>
      </c>
      <c r="B422" s="168">
        <f>B423+B426+B428</f>
        <v>4068</v>
      </c>
      <c r="C422" s="168">
        <f>C423+C426+C428</f>
        <v>3857</v>
      </c>
      <c r="D422" s="168">
        <f t="shared" si="12"/>
        <v>-211</v>
      </c>
      <c r="E422" s="169">
        <f t="shared" si="13"/>
        <v>-5.186823992133727</v>
      </c>
      <c r="F422" s="170">
        <f>F423+F426+F428</f>
        <v>3857</v>
      </c>
    </row>
    <row r="423" spans="1:6" ht="20.25" customHeight="1">
      <c r="A423" s="173" t="s">
        <v>630</v>
      </c>
      <c r="B423" s="168">
        <f>SUM(B424:B425)</f>
        <v>55</v>
      </c>
      <c r="C423" s="183"/>
      <c r="D423" s="168">
        <f t="shared" si="12"/>
        <v>-55</v>
      </c>
      <c r="E423" s="169">
        <f t="shared" si="13"/>
        <v>-100</v>
      </c>
      <c r="F423" s="184"/>
    </row>
    <row r="424" spans="1:6" ht="20.25" customHeight="1">
      <c r="A424" s="188" t="s">
        <v>631</v>
      </c>
      <c r="B424" s="179"/>
      <c r="C424" s="178"/>
      <c r="D424" s="179">
        <f t="shared" si="12"/>
        <v>0</v>
      </c>
      <c r="E424" s="180"/>
      <c r="F424" s="181"/>
    </row>
    <row r="425" spans="1:6" ht="20.25" customHeight="1">
      <c r="A425" s="188" t="s">
        <v>632</v>
      </c>
      <c r="B425" s="179">
        <v>55</v>
      </c>
      <c r="C425" s="178"/>
      <c r="D425" s="179">
        <f t="shared" si="12"/>
        <v>-55</v>
      </c>
      <c r="E425" s="180">
        <f t="shared" si="13"/>
        <v>-100</v>
      </c>
      <c r="F425" s="181"/>
    </row>
    <row r="426" spans="1:6" ht="20.25" customHeight="1">
      <c r="A426" s="173" t="s">
        <v>198</v>
      </c>
      <c r="B426" s="168">
        <f>B427</f>
        <v>3805</v>
      </c>
      <c r="C426" s="168">
        <f>C427</f>
        <v>3626</v>
      </c>
      <c r="D426" s="168">
        <f t="shared" si="12"/>
        <v>-179</v>
      </c>
      <c r="E426" s="169">
        <f t="shared" si="13"/>
        <v>-4.704336399474376</v>
      </c>
      <c r="F426" s="170">
        <f>F427</f>
        <v>3626</v>
      </c>
    </row>
    <row r="427" spans="1:6" ht="20.25" customHeight="1">
      <c r="A427" s="176" t="s">
        <v>302</v>
      </c>
      <c r="B427" s="179">
        <v>3805</v>
      </c>
      <c r="C427" s="178">
        <v>3626</v>
      </c>
      <c r="D427" s="179">
        <f t="shared" si="12"/>
        <v>-179</v>
      </c>
      <c r="E427" s="180">
        <f t="shared" si="13"/>
        <v>-4.704336399474376</v>
      </c>
      <c r="F427" s="181">
        <v>3626</v>
      </c>
    </row>
    <row r="428" spans="1:6" ht="20.25" customHeight="1">
      <c r="A428" s="173" t="s">
        <v>199</v>
      </c>
      <c r="B428" s="168">
        <f>B429</f>
        <v>208</v>
      </c>
      <c r="C428" s="168">
        <f>C429</f>
        <v>231</v>
      </c>
      <c r="D428" s="168">
        <f t="shared" si="12"/>
        <v>23</v>
      </c>
      <c r="E428" s="169">
        <f t="shared" si="13"/>
        <v>11.057692307692307</v>
      </c>
      <c r="F428" s="170">
        <f>F429</f>
        <v>231</v>
      </c>
    </row>
    <row r="429" spans="1:6" ht="20.25" customHeight="1">
      <c r="A429" s="176" t="s">
        <v>633</v>
      </c>
      <c r="B429" s="179">
        <v>208</v>
      </c>
      <c r="C429" s="178">
        <v>231</v>
      </c>
      <c r="D429" s="179">
        <f t="shared" si="12"/>
        <v>23</v>
      </c>
      <c r="E429" s="180">
        <f t="shared" si="13"/>
        <v>11.057692307692307</v>
      </c>
      <c r="F429" s="181">
        <v>231</v>
      </c>
    </row>
    <row r="430" spans="1:6" ht="20.25" customHeight="1">
      <c r="A430" s="173" t="s">
        <v>634</v>
      </c>
      <c r="B430" s="168">
        <f>B431</f>
        <v>232</v>
      </c>
      <c r="C430" s="168">
        <f>C431</f>
        <v>201</v>
      </c>
      <c r="D430" s="168">
        <f t="shared" si="12"/>
        <v>-31</v>
      </c>
      <c r="E430" s="169">
        <f t="shared" si="13"/>
        <v>-13.36206896551724</v>
      </c>
      <c r="F430" s="170">
        <f>F431</f>
        <v>201</v>
      </c>
    </row>
    <row r="431" spans="1:6" ht="20.25" customHeight="1">
      <c r="A431" s="173" t="s">
        <v>200</v>
      </c>
      <c r="B431" s="168">
        <f>SUM(B432:B434)</f>
        <v>232</v>
      </c>
      <c r="C431" s="168">
        <f>SUM(C432:C434)</f>
        <v>201</v>
      </c>
      <c r="D431" s="168">
        <f t="shared" si="12"/>
        <v>-31</v>
      </c>
      <c r="E431" s="169">
        <f t="shared" si="13"/>
        <v>-13.36206896551724</v>
      </c>
      <c r="F431" s="170">
        <f>SUM(F432:F434)</f>
        <v>201</v>
      </c>
    </row>
    <row r="432" spans="1:6" ht="20.25" customHeight="1">
      <c r="A432" s="176" t="s">
        <v>531</v>
      </c>
      <c r="B432" s="179">
        <v>77</v>
      </c>
      <c r="C432" s="178">
        <v>73</v>
      </c>
      <c r="D432" s="179">
        <f t="shared" si="12"/>
        <v>-4</v>
      </c>
      <c r="E432" s="180">
        <f t="shared" si="13"/>
        <v>-5.194805194805195</v>
      </c>
      <c r="F432" s="181">
        <v>73</v>
      </c>
    </row>
    <row r="433" spans="1:6" ht="20.25" customHeight="1">
      <c r="A433" s="176" t="s">
        <v>40</v>
      </c>
      <c r="B433" s="179">
        <v>34</v>
      </c>
      <c r="C433" s="178">
        <v>29</v>
      </c>
      <c r="D433" s="179">
        <f t="shared" si="12"/>
        <v>-5</v>
      </c>
      <c r="E433" s="180">
        <f t="shared" si="13"/>
        <v>-14.705882352941178</v>
      </c>
      <c r="F433" s="181">
        <v>29</v>
      </c>
    </row>
    <row r="434" spans="1:6" ht="20.25" customHeight="1">
      <c r="A434" s="176" t="s">
        <v>201</v>
      </c>
      <c r="B434" s="179">
        <v>121</v>
      </c>
      <c r="C434" s="178">
        <v>99</v>
      </c>
      <c r="D434" s="179">
        <f t="shared" si="12"/>
        <v>-22</v>
      </c>
      <c r="E434" s="180">
        <f t="shared" si="13"/>
        <v>-18.181818181818183</v>
      </c>
      <c r="F434" s="181">
        <v>99</v>
      </c>
    </row>
    <row r="435" spans="1:6" ht="20.25" customHeight="1">
      <c r="A435" s="173" t="s">
        <v>635</v>
      </c>
      <c r="B435" s="168">
        <f>B436</f>
        <v>0</v>
      </c>
      <c r="C435" s="168">
        <f>C436</f>
        <v>800</v>
      </c>
      <c r="D435" s="168">
        <f t="shared" si="12"/>
        <v>800</v>
      </c>
      <c r="E435" s="169"/>
      <c r="F435" s="170">
        <f>F436</f>
        <v>800</v>
      </c>
    </row>
    <row r="436" spans="1:6" ht="20.25" customHeight="1">
      <c r="A436" s="176" t="s">
        <v>202</v>
      </c>
      <c r="B436" s="179"/>
      <c r="C436" s="178">
        <v>800</v>
      </c>
      <c r="D436" s="179">
        <f t="shared" si="12"/>
        <v>800</v>
      </c>
      <c r="E436" s="180"/>
      <c r="F436" s="181">
        <v>800</v>
      </c>
    </row>
    <row r="437" spans="1:6" ht="20.25" customHeight="1">
      <c r="A437" s="173" t="s">
        <v>636</v>
      </c>
      <c r="B437" s="168">
        <f>B438+B439</f>
        <v>22</v>
      </c>
      <c r="C437" s="168">
        <f>C438+C439</f>
        <v>8832</v>
      </c>
      <c r="D437" s="168">
        <f t="shared" si="12"/>
        <v>8810</v>
      </c>
      <c r="E437" s="169">
        <f t="shared" si="13"/>
        <v>40045.454545454544</v>
      </c>
      <c r="F437" s="170">
        <f>F438+F439</f>
        <v>8832</v>
      </c>
    </row>
    <row r="438" spans="1:6" ht="20.25" customHeight="1">
      <c r="A438" s="173" t="s">
        <v>637</v>
      </c>
      <c r="B438" s="168"/>
      <c r="C438" s="183">
        <v>8820</v>
      </c>
      <c r="D438" s="168">
        <f t="shared" si="12"/>
        <v>8820</v>
      </c>
      <c r="E438" s="169"/>
      <c r="F438" s="184">
        <v>8820</v>
      </c>
    </row>
    <row r="439" spans="1:6" ht="20.25" customHeight="1">
      <c r="A439" s="173" t="s">
        <v>203</v>
      </c>
      <c r="B439" s="168">
        <f>B440</f>
        <v>22</v>
      </c>
      <c r="C439" s="168">
        <f>C440</f>
        <v>12</v>
      </c>
      <c r="D439" s="168">
        <f t="shared" si="12"/>
        <v>-10</v>
      </c>
      <c r="E439" s="169">
        <f t="shared" si="13"/>
        <v>-45.45454545454545</v>
      </c>
      <c r="F439" s="170">
        <f>F440</f>
        <v>12</v>
      </c>
    </row>
    <row r="440" spans="1:6" ht="20.25" customHeight="1" thickBot="1">
      <c r="A440" s="193" t="s">
        <v>204</v>
      </c>
      <c r="B440" s="194">
        <v>22</v>
      </c>
      <c r="C440" s="195">
        <v>12</v>
      </c>
      <c r="D440" s="194">
        <f t="shared" si="12"/>
        <v>-10</v>
      </c>
      <c r="E440" s="196">
        <f t="shared" si="13"/>
        <v>-45.45454545454545</v>
      </c>
      <c r="F440" s="197">
        <v>12</v>
      </c>
    </row>
    <row r="441" spans="1:6" ht="20.25" customHeight="1">
      <c r="A441" s="198" t="s">
        <v>638</v>
      </c>
      <c r="B441" s="199">
        <f>B442</f>
        <v>0</v>
      </c>
      <c r="C441" s="199">
        <f>C442</f>
        <v>0</v>
      </c>
      <c r="D441" s="199">
        <f t="shared" si="12"/>
        <v>0</v>
      </c>
      <c r="E441" s="200"/>
      <c r="F441" s="201">
        <f>F442</f>
        <v>0</v>
      </c>
    </row>
    <row r="442" spans="1:6" ht="20.25" customHeight="1">
      <c r="A442" s="173" t="s">
        <v>639</v>
      </c>
      <c r="B442" s="168">
        <f>B443</f>
        <v>0</v>
      </c>
      <c r="C442" s="168">
        <f>C443</f>
        <v>0</v>
      </c>
      <c r="D442" s="168">
        <f t="shared" si="12"/>
        <v>0</v>
      </c>
      <c r="E442" s="169"/>
      <c r="F442" s="170">
        <f>F443</f>
        <v>0</v>
      </c>
    </row>
    <row r="443" spans="1:6" ht="20.25" customHeight="1">
      <c r="A443" s="176" t="s">
        <v>640</v>
      </c>
      <c r="B443" s="179"/>
      <c r="C443" s="178"/>
      <c r="D443" s="179">
        <f t="shared" si="12"/>
        <v>0</v>
      </c>
      <c r="E443" s="180"/>
      <c r="F443" s="181"/>
    </row>
    <row r="444" spans="1:6" ht="20.25" customHeight="1">
      <c r="A444" s="173" t="s">
        <v>641</v>
      </c>
      <c r="B444" s="168">
        <f>B445</f>
        <v>1413</v>
      </c>
      <c r="C444" s="168">
        <f>C445</f>
        <v>1413</v>
      </c>
      <c r="D444" s="168">
        <f t="shared" si="12"/>
        <v>0</v>
      </c>
      <c r="E444" s="169">
        <f t="shared" si="13"/>
        <v>0</v>
      </c>
      <c r="F444" s="170">
        <f>F445</f>
        <v>1413</v>
      </c>
    </row>
    <row r="445" spans="1:6" ht="20.25" customHeight="1">
      <c r="A445" s="176" t="s">
        <v>758</v>
      </c>
      <c r="B445" s="178">
        <f>B446</f>
        <v>1413</v>
      </c>
      <c r="C445" s="183">
        <f>C446</f>
        <v>1413</v>
      </c>
      <c r="D445" s="168">
        <f t="shared" si="12"/>
        <v>0</v>
      </c>
      <c r="E445" s="180">
        <f t="shared" si="13"/>
        <v>0</v>
      </c>
      <c r="F445" s="184">
        <f>F446</f>
        <v>1413</v>
      </c>
    </row>
    <row r="446" spans="1:6" ht="20.25" customHeight="1">
      <c r="A446" s="176" t="s">
        <v>642</v>
      </c>
      <c r="B446" s="179">
        <v>1413</v>
      </c>
      <c r="C446" s="178">
        <v>1413</v>
      </c>
      <c r="D446" s="179">
        <f t="shared" si="12"/>
        <v>0</v>
      </c>
      <c r="E446" s="180">
        <f t="shared" si="13"/>
        <v>0</v>
      </c>
      <c r="F446" s="181">
        <v>1413</v>
      </c>
    </row>
    <row r="447" spans="1:6" ht="20.25" customHeight="1">
      <c r="A447" s="173" t="s">
        <v>732</v>
      </c>
      <c r="B447" s="168">
        <f>B448</f>
        <v>0</v>
      </c>
      <c r="C447" s="168">
        <f>C448</f>
        <v>13</v>
      </c>
      <c r="D447" s="168">
        <f>C447-B447</f>
        <v>13</v>
      </c>
      <c r="E447" s="169"/>
      <c r="F447" s="170">
        <f>F448</f>
        <v>13</v>
      </c>
    </row>
    <row r="448" spans="1:6" ht="20.25" customHeight="1">
      <c r="A448" s="176" t="s">
        <v>759</v>
      </c>
      <c r="B448" s="178">
        <f>B449</f>
        <v>0</v>
      </c>
      <c r="C448" s="183">
        <f>C449</f>
        <v>13</v>
      </c>
      <c r="D448" s="168">
        <f>C448-B448</f>
        <v>13</v>
      </c>
      <c r="E448" s="180"/>
      <c r="F448" s="184">
        <f>F449</f>
        <v>13</v>
      </c>
    </row>
    <row r="449" spans="1:6" ht="20.25" customHeight="1" thickBot="1">
      <c r="A449" s="193" t="s">
        <v>733</v>
      </c>
      <c r="B449" s="194"/>
      <c r="C449" s="195">
        <v>13</v>
      </c>
      <c r="D449" s="194">
        <f>C449-B449</f>
        <v>13</v>
      </c>
      <c r="E449" s="196"/>
      <c r="F449" s="197">
        <v>13</v>
      </c>
    </row>
  </sheetData>
  <sheetProtection/>
  <mergeCells count="6">
    <mergeCell ref="D3:E3"/>
    <mergeCell ref="A3:A4"/>
    <mergeCell ref="B3:B4"/>
    <mergeCell ref="C3:C4"/>
    <mergeCell ref="A1:F1"/>
    <mergeCell ref="F3:F4"/>
  </mergeCells>
  <printOptions horizontalCentered="1"/>
  <pageMargins left="0.7480314960629921" right="0.7480314960629921" top="0.5905511811023623" bottom="0.5905511811023623" header="0.5118110236220472" footer="0.31496062992125984"/>
  <pageSetup fitToHeight="3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showZeros="0" zoomScalePageLayoutView="0" workbookViewId="0" topLeftCell="A1">
      <selection activeCell="C21" sqref="C21"/>
    </sheetView>
  </sheetViews>
  <sheetFormatPr defaultColWidth="9.00390625" defaultRowHeight="14.25"/>
  <cols>
    <col min="1" max="1" width="31.50390625" style="55" customWidth="1"/>
    <col min="2" max="2" width="13.00390625" style="55" customWidth="1"/>
    <col min="3" max="3" width="30.50390625" style="55" customWidth="1"/>
    <col min="4" max="4" width="17.625" style="55" customWidth="1"/>
    <col min="5" max="5" width="0" style="55" hidden="1" customWidth="1"/>
    <col min="6" max="6" width="16.125" style="55" bestFit="1" customWidth="1"/>
    <col min="7" max="16384" width="9.00390625" style="55" customWidth="1"/>
  </cols>
  <sheetData>
    <row r="1" spans="1:4" s="44" customFormat="1" ht="54" customHeight="1">
      <c r="A1" s="237" t="s">
        <v>405</v>
      </c>
      <c r="B1" s="237"/>
      <c r="C1" s="237"/>
      <c r="D1" s="237"/>
    </row>
    <row r="2" spans="1:4" s="47" customFormat="1" ht="27.75" customHeight="1" thickBot="1">
      <c r="A2" s="45"/>
      <c r="B2" s="45"/>
      <c r="C2" s="45"/>
      <c r="D2" s="46" t="s">
        <v>388</v>
      </c>
    </row>
    <row r="3" spans="1:4" s="51" customFormat="1" ht="22.5" customHeight="1">
      <c r="A3" s="48" t="s">
        <v>389</v>
      </c>
      <c r="B3" s="49" t="s">
        <v>390</v>
      </c>
      <c r="C3" s="48" t="s">
        <v>389</v>
      </c>
      <c r="D3" s="50" t="s">
        <v>390</v>
      </c>
    </row>
    <row r="4" spans="1:4" ht="30" customHeight="1">
      <c r="A4" s="52" t="s">
        <v>391</v>
      </c>
      <c r="B4" s="53">
        <v>41000</v>
      </c>
      <c r="C4" s="52" t="s">
        <v>392</v>
      </c>
      <c r="D4" s="54">
        <v>152400</v>
      </c>
    </row>
    <row r="5" spans="1:4" ht="30" customHeight="1">
      <c r="A5" s="56" t="s">
        <v>393</v>
      </c>
      <c r="B5" s="53">
        <f>SUM(B6:B10)</f>
        <v>131515</v>
      </c>
      <c r="C5" s="57" t="s">
        <v>394</v>
      </c>
      <c r="D5" s="58">
        <f>SUM(D6:D7)</f>
        <v>20115</v>
      </c>
    </row>
    <row r="6" spans="1:4" ht="30" customHeight="1">
      <c r="A6" s="59" t="s">
        <v>395</v>
      </c>
      <c r="B6" s="60">
        <v>4984</v>
      </c>
      <c r="C6" s="61" t="s">
        <v>396</v>
      </c>
      <c r="D6" s="62">
        <v>20115</v>
      </c>
    </row>
    <row r="7" spans="1:4" ht="30" customHeight="1">
      <c r="A7" s="63" t="s">
        <v>397</v>
      </c>
      <c r="B7" s="60">
        <v>75289</v>
      </c>
      <c r="C7" s="61" t="s">
        <v>398</v>
      </c>
      <c r="D7" s="62"/>
    </row>
    <row r="8" spans="1:4" ht="30" customHeight="1">
      <c r="A8" s="63" t="s">
        <v>399</v>
      </c>
      <c r="B8" s="60">
        <v>48733</v>
      </c>
      <c r="C8" s="57" t="s">
        <v>400</v>
      </c>
      <c r="D8" s="62"/>
    </row>
    <row r="9" spans="1:4" ht="30" customHeight="1">
      <c r="A9" s="59" t="s">
        <v>401</v>
      </c>
      <c r="B9" s="60">
        <v>1983</v>
      </c>
      <c r="C9" s="61"/>
      <c r="D9" s="62">
        <v>0</v>
      </c>
    </row>
    <row r="10" spans="1:4" ht="30" customHeight="1">
      <c r="A10" s="64" t="s">
        <v>402</v>
      </c>
      <c r="B10" s="60">
        <v>526</v>
      </c>
      <c r="C10" s="65"/>
      <c r="D10" s="66"/>
    </row>
    <row r="11" spans="1:4" ht="30" customHeight="1">
      <c r="A11" s="64"/>
      <c r="B11" s="67"/>
      <c r="C11" s="68"/>
      <c r="D11" s="66"/>
    </row>
    <row r="12" spans="1:4" ht="30" customHeight="1">
      <c r="A12" s="64"/>
      <c r="B12" s="67"/>
      <c r="C12" s="68"/>
      <c r="D12" s="66"/>
    </row>
    <row r="13" spans="1:6" ht="24.75" customHeight="1" thickBot="1">
      <c r="A13" s="69" t="s">
        <v>403</v>
      </c>
      <c r="B13" s="70">
        <f>B4+B5</f>
        <v>172515</v>
      </c>
      <c r="C13" s="71" t="s">
        <v>404</v>
      </c>
      <c r="D13" s="72">
        <f>D4+D5+D8</f>
        <v>172515</v>
      </c>
      <c r="F13" s="73">
        <f>B13-D13</f>
        <v>0</v>
      </c>
    </row>
  </sheetData>
  <sheetProtection/>
  <mergeCells count="1">
    <mergeCell ref="A1:D1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80"/>
  <sheetViews>
    <sheetView zoomScalePageLayoutView="0" workbookViewId="0" topLeftCell="A1">
      <selection activeCell="H59" sqref="H59"/>
    </sheetView>
  </sheetViews>
  <sheetFormatPr defaultColWidth="15.125" defaultRowHeight="14.25"/>
  <cols>
    <col min="1" max="1" width="8.50390625" style="15" customWidth="1"/>
    <col min="2" max="2" width="12.125" style="15" customWidth="1"/>
    <col min="3" max="3" width="38.50390625" style="7" customWidth="1"/>
    <col min="4" max="4" width="27.125" style="16" customWidth="1"/>
    <col min="5" max="16384" width="15.125" style="8" customWidth="1"/>
  </cols>
  <sheetData>
    <row r="1" spans="1:4" s="3" customFormat="1" ht="35.25" customHeight="1">
      <c r="A1" s="238" t="s">
        <v>712</v>
      </c>
      <c r="B1" s="239"/>
      <c r="C1" s="239"/>
      <c r="D1" s="239"/>
    </row>
    <row r="2" spans="1:4" ht="16.5" customHeight="1">
      <c r="A2" s="131"/>
      <c r="B2" s="132"/>
      <c r="C2" s="133"/>
      <c r="D2" s="134" t="s">
        <v>1</v>
      </c>
    </row>
    <row r="3" spans="1:4" s="13" customFormat="1" ht="19.5" customHeight="1">
      <c r="A3" s="240" t="s">
        <v>205</v>
      </c>
      <c r="B3" s="241"/>
      <c r="C3" s="242" t="s">
        <v>16</v>
      </c>
      <c r="D3" s="243" t="s">
        <v>3</v>
      </c>
    </row>
    <row r="4" spans="1:4" s="14" customFormat="1" ht="19.5" customHeight="1">
      <c r="A4" s="135" t="s">
        <v>206</v>
      </c>
      <c r="B4" s="136" t="s">
        <v>207</v>
      </c>
      <c r="C4" s="242"/>
      <c r="D4" s="243"/>
    </row>
    <row r="5" spans="1:4" s="14" customFormat="1" ht="19.5" customHeight="1">
      <c r="A5" s="137"/>
      <c r="B5" s="138"/>
      <c r="C5" s="139" t="s">
        <v>208</v>
      </c>
      <c r="D5" s="140">
        <f>SUM(D6,D11,D37,D51)</f>
        <v>73930</v>
      </c>
    </row>
    <row r="6" spans="1:4" s="13" customFormat="1" ht="19.5" customHeight="1">
      <c r="A6" s="141" t="s">
        <v>209</v>
      </c>
      <c r="B6" s="141"/>
      <c r="C6" s="142" t="s">
        <v>210</v>
      </c>
      <c r="D6" s="140">
        <f>SUM(D7:D10)</f>
        <v>65706</v>
      </c>
    </row>
    <row r="7" spans="1:4" s="13" customFormat="1" ht="19.5" customHeight="1">
      <c r="A7" s="141"/>
      <c r="B7" s="141" t="s">
        <v>211</v>
      </c>
      <c r="C7" s="143" t="s">
        <v>212</v>
      </c>
      <c r="D7" s="140">
        <v>37295</v>
      </c>
    </row>
    <row r="8" spans="1:4" s="13" customFormat="1" ht="19.5" customHeight="1">
      <c r="A8" s="141"/>
      <c r="B8" s="141" t="s">
        <v>213</v>
      </c>
      <c r="C8" s="143" t="s">
        <v>214</v>
      </c>
      <c r="D8" s="140">
        <v>22345</v>
      </c>
    </row>
    <row r="9" spans="1:4" s="13" customFormat="1" ht="19.5" customHeight="1">
      <c r="A9" s="141"/>
      <c r="B9" s="141" t="s">
        <v>215</v>
      </c>
      <c r="C9" s="143" t="s">
        <v>216</v>
      </c>
      <c r="D9" s="140">
        <v>3619</v>
      </c>
    </row>
    <row r="10" spans="1:4" s="13" customFormat="1" ht="19.5" customHeight="1">
      <c r="A10" s="141"/>
      <c r="B10" s="141" t="s">
        <v>217</v>
      </c>
      <c r="C10" s="143" t="s">
        <v>218</v>
      </c>
      <c r="D10" s="140">
        <v>2447</v>
      </c>
    </row>
    <row r="11" spans="1:4" s="13" customFormat="1" ht="19.5" customHeight="1">
      <c r="A11" s="141" t="s">
        <v>219</v>
      </c>
      <c r="B11" s="141"/>
      <c r="C11" s="142" t="s">
        <v>220</v>
      </c>
      <c r="D11" s="140">
        <f>SUM(D12:D21)</f>
        <v>5747</v>
      </c>
    </row>
    <row r="12" spans="1:4" s="13" customFormat="1" ht="19.5" customHeight="1">
      <c r="A12" s="141"/>
      <c r="B12" s="141" t="s">
        <v>211</v>
      </c>
      <c r="C12" s="143" t="s">
        <v>221</v>
      </c>
      <c r="D12" s="140">
        <f>3811+650</f>
        <v>4461</v>
      </c>
    </row>
    <row r="13" spans="1:4" s="13" customFormat="1" ht="19.5" customHeight="1">
      <c r="A13" s="144"/>
      <c r="B13" s="141" t="s">
        <v>213</v>
      </c>
      <c r="C13" s="143" t="s">
        <v>222</v>
      </c>
      <c r="D13" s="140"/>
    </row>
    <row r="14" spans="1:4" s="13" customFormat="1" ht="19.5" customHeight="1">
      <c r="A14" s="144"/>
      <c r="B14" s="141" t="s">
        <v>215</v>
      </c>
      <c r="C14" s="143" t="s">
        <v>223</v>
      </c>
      <c r="D14" s="140"/>
    </row>
    <row r="15" spans="1:4" ht="19.5" customHeight="1">
      <c r="A15" s="141"/>
      <c r="B15" s="141" t="s">
        <v>217</v>
      </c>
      <c r="C15" s="143" t="s">
        <v>224</v>
      </c>
      <c r="D15" s="140"/>
    </row>
    <row r="16" spans="1:4" ht="19.5" customHeight="1">
      <c r="A16" s="144"/>
      <c r="B16" s="141" t="s">
        <v>225</v>
      </c>
      <c r="C16" s="143" t="s">
        <v>226</v>
      </c>
      <c r="D16" s="140"/>
    </row>
    <row r="17" spans="1:4" ht="19.5" customHeight="1">
      <c r="A17" s="144"/>
      <c r="B17" s="141" t="s">
        <v>227</v>
      </c>
      <c r="C17" s="143" t="s">
        <v>228</v>
      </c>
      <c r="D17" s="140">
        <v>96</v>
      </c>
    </row>
    <row r="18" spans="1:4" ht="19.5" customHeight="1">
      <c r="A18" s="141"/>
      <c r="B18" s="141" t="s">
        <v>229</v>
      </c>
      <c r="C18" s="143" t="s">
        <v>230</v>
      </c>
      <c r="D18" s="145"/>
    </row>
    <row r="19" spans="1:4" ht="19.5" customHeight="1">
      <c r="A19" s="144"/>
      <c r="B19" s="141" t="s">
        <v>231</v>
      </c>
      <c r="C19" s="143" t="s">
        <v>232</v>
      </c>
      <c r="D19" s="140">
        <v>717</v>
      </c>
    </row>
    <row r="20" spans="1:4" ht="19.5" customHeight="1">
      <c r="A20" s="144"/>
      <c r="B20" s="141" t="s">
        <v>233</v>
      </c>
      <c r="C20" s="143" t="s">
        <v>234</v>
      </c>
      <c r="D20" s="140"/>
    </row>
    <row r="21" spans="1:4" ht="18.75" customHeight="1">
      <c r="A21" s="144"/>
      <c r="B21" s="141" t="s">
        <v>235</v>
      </c>
      <c r="C21" s="143" t="s">
        <v>236</v>
      </c>
      <c r="D21" s="140">
        <v>473</v>
      </c>
    </row>
    <row r="22" spans="1:4" s="7" customFormat="1" ht="19.5" customHeight="1">
      <c r="A22" s="144">
        <v>503</v>
      </c>
      <c r="B22" s="146"/>
      <c r="C22" s="142" t="s">
        <v>237</v>
      </c>
      <c r="D22" s="145"/>
    </row>
    <row r="23" spans="1:4" ht="19.5" customHeight="1">
      <c r="A23" s="146"/>
      <c r="B23" s="141" t="s">
        <v>211</v>
      </c>
      <c r="C23" s="143" t="s">
        <v>238</v>
      </c>
      <c r="D23" s="145"/>
    </row>
    <row r="24" spans="1:4" ht="19.5" customHeight="1">
      <c r="A24" s="146"/>
      <c r="B24" s="141" t="s">
        <v>213</v>
      </c>
      <c r="C24" s="143" t="s">
        <v>239</v>
      </c>
      <c r="D24" s="145"/>
    </row>
    <row r="25" spans="1:4" ht="19.5" customHeight="1">
      <c r="A25" s="146"/>
      <c r="B25" s="141" t="s">
        <v>215</v>
      </c>
      <c r="C25" s="143" t="s">
        <v>240</v>
      </c>
      <c r="D25" s="145"/>
    </row>
    <row r="26" spans="1:4" ht="19.5" customHeight="1">
      <c r="A26" s="146"/>
      <c r="B26" s="141" t="s">
        <v>225</v>
      </c>
      <c r="C26" s="143" t="s">
        <v>241</v>
      </c>
      <c r="D26" s="145"/>
    </row>
    <row r="27" spans="1:4" ht="19.5" customHeight="1">
      <c r="A27" s="146"/>
      <c r="B27" s="141" t="s">
        <v>227</v>
      </c>
      <c r="C27" s="143" t="s">
        <v>242</v>
      </c>
      <c r="D27" s="145"/>
    </row>
    <row r="28" spans="1:4" ht="19.5" customHeight="1">
      <c r="A28" s="146"/>
      <c r="B28" s="141" t="s">
        <v>229</v>
      </c>
      <c r="C28" s="143" t="s">
        <v>243</v>
      </c>
      <c r="D28" s="145"/>
    </row>
    <row r="29" spans="1:4" s="7" customFormat="1" ht="19.5" customHeight="1">
      <c r="A29" s="146"/>
      <c r="B29" s="141" t="s">
        <v>235</v>
      </c>
      <c r="C29" s="143" t="s">
        <v>244</v>
      </c>
      <c r="D29" s="145"/>
    </row>
    <row r="30" spans="1:4" s="7" customFormat="1" ht="19.5" customHeight="1">
      <c r="A30" s="144">
        <v>504</v>
      </c>
      <c r="B30" s="141"/>
      <c r="C30" s="142" t="s">
        <v>245</v>
      </c>
      <c r="D30" s="145"/>
    </row>
    <row r="31" spans="1:4" s="7" customFormat="1" ht="19.5" customHeight="1">
      <c r="A31" s="144"/>
      <c r="B31" s="141" t="s">
        <v>211</v>
      </c>
      <c r="C31" s="143" t="s">
        <v>238</v>
      </c>
      <c r="D31" s="145"/>
    </row>
    <row r="32" spans="1:4" s="7" customFormat="1" ht="19.5" customHeight="1">
      <c r="A32" s="144"/>
      <c r="B32" s="141" t="s">
        <v>213</v>
      </c>
      <c r="C32" s="143" t="s">
        <v>239</v>
      </c>
      <c r="D32" s="145"/>
    </row>
    <row r="33" spans="1:4" s="7" customFormat="1" ht="19.5" customHeight="1">
      <c r="A33" s="144"/>
      <c r="B33" s="141" t="s">
        <v>215</v>
      </c>
      <c r="C33" s="143" t="s">
        <v>240</v>
      </c>
      <c r="D33" s="145"/>
    </row>
    <row r="34" spans="1:4" s="7" customFormat="1" ht="19.5" customHeight="1">
      <c r="A34" s="144"/>
      <c r="B34" s="141" t="s">
        <v>217</v>
      </c>
      <c r="C34" s="143" t="s">
        <v>242</v>
      </c>
      <c r="D34" s="145"/>
    </row>
    <row r="35" spans="1:4" s="7" customFormat="1" ht="19.5" customHeight="1">
      <c r="A35" s="144"/>
      <c r="B35" s="141" t="s">
        <v>225</v>
      </c>
      <c r="C35" s="143" t="s">
        <v>243</v>
      </c>
      <c r="D35" s="145"/>
    </row>
    <row r="36" spans="1:4" ht="19.5" customHeight="1">
      <c r="A36" s="146"/>
      <c r="B36" s="141" t="s">
        <v>235</v>
      </c>
      <c r="C36" s="143" t="s">
        <v>244</v>
      </c>
      <c r="D36" s="145"/>
    </row>
    <row r="37" spans="1:4" ht="19.5" customHeight="1">
      <c r="A37" s="146">
        <v>505</v>
      </c>
      <c r="B37" s="141"/>
      <c r="C37" s="142" t="s">
        <v>246</v>
      </c>
      <c r="D37" s="145">
        <f>SUM(D38:D40)</f>
        <v>0</v>
      </c>
    </row>
    <row r="38" spans="1:4" ht="19.5" customHeight="1">
      <c r="A38" s="146"/>
      <c r="B38" s="141" t="s">
        <v>211</v>
      </c>
      <c r="C38" s="143" t="s">
        <v>247</v>
      </c>
      <c r="D38" s="145"/>
    </row>
    <row r="39" spans="1:4" ht="19.5" customHeight="1">
      <c r="A39" s="146"/>
      <c r="B39" s="141" t="s">
        <v>213</v>
      </c>
      <c r="C39" s="143" t="s">
        <v>248</v>
      </c>
      <c r="D39" s="145"/>
    </row>
    <row r="40" spans="1:4" ht="19.5" customHeight="1">
      <c r="A40" s="146"/>
      <c r="B40" s="141" t="s">
        <v>235</v>
      </c>
      <c r="C40" s="143" t="s">
        <v>249</v>
      </c>
      <c r="D40" s="145"/>
    </row>
    <row r="41" spans="1:4" ht="19.5" customHeight="1">
      <c r="A41" s="146">
        <v>506</v>
      </c>
      <c r="B41" s="141"/>
      <c r="C41" s="142" t="s">
        <v>250</v>
      </c>
      <c r="D41" s="145"/>
    </row>
    <row r="42" spans="1:4" ht="19.5" customHeight="1">
      <c r="A42" s="146"/>
      <c r="B42" s="141" t="s">
        <v>211</v>
      </c>
      <c r="C42" s="143" t="s">
        <v>251</v>
      </c>
      <c r="D42" s="145"/>
    </row>
    <row r="43" spans="1:4" ht="19.5" customHeight="1">
      <c r="A43" s="146"/>
      <c r="B43" s="141" t="s">
        <v>213</v>
      </c>
      <c r="C43" s="143" t="s">
        <v>252</v>
      </c>
      <c r="D43" s="145"/>
    </row>
    <row r="44" spans="1:4" ht="19.5" customHeight="1">
      <c r="A44" s="146">
        <v>507</v>
      </c>
      <c r="B44" s="141"/>
      <c r="C44" s="142" t="s">
        <v>253</v>
      </c>
      <c r="D44" s="145"/>
    </row>
    <row r="45" spans="1:4" ht="19.5" customHeight="1">
      <c r="A45" s="146"/>
      <c r="B45" s="141" t="s">
        <v>211</v>
      </c>
      <c r="C45" s="143" t="s">
        <v>254</v>
      </c>
      <c r="D45" s="145"/>
    </row>
    <row r="46" spans="1:4" ht="19.5" customHeight="1">
      <c r="A46" s="146"/>
      <c r="B46" s="141" t="s">
        <v>213</v>
      </c>
      <c r="C46" s="143" t="s">
        <v>255</v>
      </c>
      <c r="D46" s="145"/>
    </row>
    <row r="47" spans="1:4" ht="19.5" customHeight="1">
      <c r="A47" s="146"/>
      <c r="B47" s="141" t="s">
        <v>235</v>
      </c>
      <c r="C47" s="143" t="s">
        <v>256</v>
      </c>
      <c r="D47" s="145"/>
    </row>
    <row r="48" spans="1:4" ht="19.5" customHeight="1">
      <c r="A48" s="146">
        <v>508</v>
      </c>
      <c r="B48" s="141"/>
      <c r="C48" s="142" t="s">
        <v>257</v>
      </c>
      <c r="D48" s="145"/>
    </row>
    <row r="49" spans="1:4" ht="19.5" customHeight="1">
      <c r="A49" s="146"/>
      <c r="B49" s="141" t="s">
        <v>211</v>
      </c>
      <c r="C49" s="143" t="s">
        <v>258</v>
      </c>
      <c r="D49" s="145"/>
    </row>
    <row r="50" spans="1:4" ht="19.5" customHeight="1">
      <c r="A50" s="146"/>
      <c r="B50" s="141" t="s">
        <v>213</v>
      </c>
      <c r="C50" s="143" t="s">
        <v>259</v>
      </c>
      <c r="D50" s="145"/>
    </row>
    <row r="51" spans="1:4" ht="19.5" customHeight="1">
      <c r="A51" s="146">
        <v>509</v>
      </c>
      <c r="B51" s="141"/>
      <c r="C51" s="142" t="s">
        <v>260</v>
      </c>
      <c r="D51" s="204">
        <f>SUM(D52:D56)</f>
        <v>2477</v>
      </c>
    </row>
    <row r="52" spans="1:4" ht="19.5" customHeight="1">
      <c r="A52" s="146"/>
      <c r="B52" s="141" t="s">
        <v>211</v>
      </c>
      <c r="C52" s="143" t="s">
        <v>261</v>
      </c>
      <c r="D52" s="204">
        <v>1708</v>
      </c>
    </row>
    <row r="53" spans="1:4" ht="19.5" customHeight="1">
      <c r="A53" s="146"/>
      <c r="B53" s="141" t="s">
        <v>213</v>
      </c>
      <c r="C53" s="143" t="s">
        <v>262</v>
      </c>
      <c r="D53" s="204"/>
    </row>
    <row r="54" spans="1:4" ht="19.5" customHeight="1">
      <c r="A54" s="146"/>
      <c r="B54" s="141" t="s">
        <v>215</v>
      </c>
      <c r="C54" s="143" t="s">
        <v>263</v>
      </c>
      <c r="D54" s="204"/>
    </row>
    <row r="55" spans="1:4" ht="19.5" customHeight="1">
      <c r="A55" s="146"/>
      <c r="B55" s="141" t="s">
        <v>225</v>
      </c>
      <c r="C55" s="143" t="s">
        <v>264</v>
      </c>
      <c r="D55" s="204">
        <v>759</v>
      </c>
    </row>
    <row r="56" spans="1:4" ht="19.5" customHeight="1">
      <c r="A56" s="146"/>
      <c r="B56" s="141" t="s">
        <v>235</v>
      </c>
      <c r="C56" s="143" t="s">
        <v>265</v>
      </c>
      <c r="D56" s="204">
        <v>10</v>
      </c>
    </row>
    <row r="57" spans="1:4" ht="19.5" customHeight="1">
      <c r="A57" s="146">
        <v>510</v>
      </c>
      <c r="B57" s="141"/>
      <c r="C57" s="142" t="s">
        <v>266</v>
      </c>
      <c r="D57" s="204"/>
    </row>
    <row r="58" spans="1:4" ht="19.5" customHeight="1">
      <c r="A58" s="146"/>
      <c r="B58" s="141" t="s">
        <v>213</v>
      </c>
      <c r="C58" s="143" t="s">
        <v>267</v>
      </c>
      <c r="D58" s="204"/>
    </row>
    <row r="59" spans="1:4" ht="19.5" customHeight="1">
      <c r="A59" s="146"/>
      <c r="B59" s="141" t="s">
        <v>215</v>
      </c>
      <c r="C59" s="143" t="s">
        <v>268</v>
      </c>
      <c r="D59" s="204"/>
    </row>
    <row r="60" spans="1:4" ht="19.5" customHeight="1">
      <c r="A60" s="146">
        <v>511</v>
      </c>
      <c r="B60" s="141"/>
      <c r="C60" s="142" t="s">
        <v>269</v>
      </c>
      <c r="D60" s="204"/>
    </row>
    <row r="61" spans="1:4" ht="19.5" customHeight="1">
      <c r="A61" s="146"/>
      <c r="B61" s="141" t="s">
        <v>211</v>
      </c>
      <c r="C61" s="143" t="s">
        <v>270</v>
      </c>
      <c r="D61" s="204"/>
    </row>
    <row r="62" spans="1:4" ht="19.5" customHeight="1">
      <c r="A62" s="146"/>
      <c r="B62" s="141" t="s">
        <v>213</v>
      </c>
      <c r="C62" s="143" t="s">
        <v>271</v>
      </c>
      <c r="D62" s="204"/>
    </row>
    <row r="63" spans="1:4" ht="19.5" customHeight="1">
      <c r="A63" s="146"/>
      <c r="B63" s="141" t="s">
        <v>215</v>
      </c>
      <c r="C63" s="143" t="s">
        <v>272</v>
      </c>
      <c r="D63" s="204"/>
    </row>
    <row r="64" spans="1:4" ht="19.5" customHeight="1">
      <c r="A64" s="146"/>
      <c r="B64" s="141" t="s">
        <v>217</v>
      </c>
      <c r="C64" s="143" t="s">
        <v>273</v>
      </c>
      <c r="D64" s="204"/>
    </row>
    <row r="65" spans="1:4" ht="19.5" customHeight="1">
      <c r="A65" s="146">
        <v>512</v>
      </c>
      <c r="B65" s="141"/>
      <c r="C65" s="142" t="s">
        <v>274</v>
      </c>
      <c r="D65" s="204"/>
    </row>
    <row r="66" spans="1:4" ht="19.5" customHeight="1">
      <c r="A66" s="146"/>
      <c r="B66" s="141" t="s">
        <v>211</v>
      </c>
      <c r="C66" s="143" t="s">
        <v>275</v>
      </c>
      <c r="D66" s="204"/>
    </row>
    <row r="67" spans="1:4" ht="19.5" customHeight="1">
      <c r="A67" s="146"/>
      <c r="B67" s="141" t="s">
        <v>213</v>
      </c>
      <c r="C67" s="143" t="s">
        <v>276</v>
      </c>
      <c r="D67" s="204"/>
    </row>
    <row r="68" spans="1:4" ht="19.5" customHeight="1">
      <c r="A68" s="146">
        <v>513</v>
      </c>
      <c r="B68" s="141"/>
      <c r="C68" s="142" t="s">
        <v>277</v>
      </c>
      <c r="D68" s="204"/>
    </row>
    <row r="69" spans="1:4" ht="19.5" customHeight="1">
      <c r="A69" s="146"/>
      <c r="B69" s="141" t="s">
        <v>211</v>
      </c>
      <c r="C69" s="143" t="s">
        <v>278</v>
      </c>
      <c r="D69" s="204"/>
    </row>
    <row r="70" spans="1:4" ht="19.5" customHeight="1">
      <c r="A70" s="146"/>
      <c r="B70" s="141" t="s">
        <v>213</v>
      </c>
      <c r="C70" s="143" t="s">
        <v>279</v>
      </c>
      <c r="D70" s="204"/>
    </row>
    <row r="71" spans="1:4" ht="19.5" customHeight="1">
      <c r="A71" s="146"/>
      <c r="B71" s="141" t="s">
        <v>215</v>
      </c>
      <c r="C71" s="143" t="s">
        <v>280</v>
      </c>
      <c r="D71" s="204"/>
    </row>
    <row r="72" spans="1:4" ht="19.5" customHeight="1">
      <c r="A72" s="146"/>
      <c r="B72" s="141" t="s">
        <v>217</v>
      </c>
      <c r="C72" s="143" t="s">
        <v>34</v>
      </c>
      <c r="D72" s="204"/>
    </row>
    <row r="73" spans="1:4" ht="19.5" customHeight="1">
      <c r="A73" s="146">
        <v>514</v>
      </c>
      <c r="B73" s="141"/>
      <c r="C73" s="142" t="s">
        <v>281</v>
      </c>
      <c r="D73" s="204"/>
    </row>
    <row r="74" spans="1:4" ht="19.5" customHeight="1">
      <c r="A74" s="146"/>
      <c r="B74" s="141" t="s">
        <v>211</v>
      </c>
      <c r="C74" s="143" t="s">
        <v>29</v>
      </c>
      <c r="D74" s="204"/>
    </row>
    <row r="75" spans="1:4" ht="19.5" customHeight="1">
      <c r="A75" s="146"/>
      <c r="B75" s="141" t="s">
        <v>213</v>
      </c>
      <c r="C75" s="143" t="s">
        <v>282</v>
      </c>
      <c r="D75" s="204"/>
    </row>
    <row r="76" spans="1:4" ht="19.5" customHeight="1">
      <c r="A76" s="146">
        <v>599</v>
      </c>
      <c r="B76" s="141"/>
      <c r="C76" s="142" t="s">
        <v>283</v>
      </c>
      <c r="D76" s="204"/>
    </row>
    <row r="77" spans="1:4" ht="19.5" customHeight="1">
      <c r="A77" s="146"/>
      <c r="B77" s="141" t="s">
        <v>227</v>
      </c>
      <c r="C77" s="143" t="s">
        <v>284</v>
      </c>
      <c r="D77" s="204"/>
    </row>
    <row r="78" spans="1:4" ht="19.5" customHeight="1">
      <c r="A78" s="146"/>
      <c r="B78" s="141" t="s">
        <v>229</v>
      </c>
      <c r="C78" s="143" t="s">
        <v>285</v>
      </c>
      <c r="D78" s="204"/>
    </row>
    <row r="79" spans="1:4" ht="19.5" customHeight="1">
      <c r="A79" s="146"/>
      <c r="B79" s="141" t="s">
        <v>231</v>
      </c>
      <c r="C79" s="143" t="s">
        <v>286</v>
      </c>
      <c r="D79" s="204"/>
    </row>
    <row r="80" spans="1:4" ht="19.5" customHeight="1">
      <c r="A80" s="146"/>
      <c r="B80" s="141" t="s">
        <v>287</v>
      </c>
      <c r="C80" s="143" t="s">
        <v>30</v>
      </c>
      <c r="D80" s="145"/>
    </row>
  </sheetData>
  <sheetProtection/>
  <mergeCells count="4">
    <mergeCell ref="A1:D1"/>
    <mergeCell ref="A3:B3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zoomScalePageLayoutView="0" workbookViewId="0" topLeftCell="A5">
      <selection activeCell="H20" sqref="H20"/>
    </sheetView>
  </sheetViews>
  <sheetFormatPr defaultColWidth="15.125" defaultRowHeight="14.25"/>
  <cols>
    <col min="1" max="2" width="7.125" style="6" customWidth="1"/>
    <col min="3" max="4" width="33.00390625" style="7" customWidth="1"/>
    <col min="5" max="16384" width="15.125" style="8" customWidth="1"/>
  </cols>
  <sheetData>
    <row r="1" spans="1:4" s="3" customFormat="1" ht="45.75" customHeight="1">
      <c r="A1" s="244" t="s">
        <v>713</v>
      </c>
      <c r="B1" s="239"/>
      <c r="C1" s="239"/>
      <c r="D1" s="239"/>
    </row>
    <row r="2" spans="1:4" ht="19.5" customHeight="1">
      <c r="A2" s="147"/>
      <c r="B2" s="148"/>
      <c r="C2" s="133"/>
      <c r="D2" s="149" t="s">
        <v>1</v>
      </c>
    </row>
    <row r="3" spans="1:4" s="4" customFormat="1" ht="19.5" customHeight="1">
      <c r="A3" s="150" t="s">
        <v>205</v>
      </c>
      <c r="B3" s="150"/>
      <c r="C3" s="245" t="s">
        <v>16</v>
      </c>
      <c r="D3" s="247" t="s">
        <v>3</v>
      </c>
    </row>
    <row r="4" spans="1:4" s="4" customFormat="1" ht="19.5" customHeight="1">
      <c r="A4" s="135" t="s">
        <v>206</v>
      </c>
      <c r="B4" s="136" t="s">
        <v>207</v>
      </c>
      <c r="C4" s="246"/>
      <c r="D4" s="248"/>
    </row>
    <row r="5" spans="1:4" s="4" customFormat="1" ht="19.5" customHeight="1">
      <c r="A5" s="137"/>
      <c r="B5" s="138"/>
      <c r="C5" s="139" t="s">
        <v>208</v>
      </c>
      <c r="D5" s="151">
        <f>SUM(D6,D20,D48)</f>
        <v>73930</v>
      </c>
    </row>
    <row r="6" spans="1:4" s="4" customFormat="1" ht="19.5" customHeight="1">
      <c r="A6" s="152">
        <v>301</v>
      </c>
      <c r="B6" s="152"/>
      <c r="C6" s="153" t="s">
        <v>247</v>
      </c>
      <c r="D6" s="151">
        <f>SUM(D7:D19)</f>
        <v>65706</v>
      </c>
    </row>
    <row r="7" spans="1:4" s="4" customFormat="1" ht="19.5" customHeight="1">
      <c r="A7" s="152"/>
      <c r="B7" s="152" t="s">
        <v>211</v>
      </c>
      <c r="C7" s="153" t="s">
        <v>288</v>
      </c>
      <c r="D7" s="151">
        <v>20606</v>
      </c>
    </row>
    <row r="8" spans="1:4" s="4" customFormat="1" ht="19.5" customHeight="1">
      <c r="A8" s="152"/>
      <c r="B8" s="152" t="s">
        <v>213</v>
      </c>
      <c r="C8" s="153" t="s">
        <v>289</v>
      </c>
      <c r="D8" s="154">
        <v>13335</v>
      </c>
    </row>
    <row r="9" spans="1:4" s="4" customFormat="1" ht="19.5" customHeight="1">
      <c r="A9" s="152"/>
      <c r="B9" s="152" t="s">
        <v>215</v>
      </c>
      <c r="C9" s="153" t="s">
        <v>290</v>
      </c>
      <c r="D9" s="151">
        <v>3354</v>
      </c>
    </row>
    <row r="10" spans="1:4" s="4" customFormat="1" ht="19.5" customHeight="1">
      <c r="A10" s="152"/>
      <c r="B10" s="152" t="s">
        <v>227</v>
      </c>
      <c r="C10" s="153" t="s">
        <v>291</v>
      </c>
      <c r="D10" s="151"/>
    </row>
    <row r="11" spans="1:4" s="4" customFormat="1" ht="19.5" customHeight="1">
      <c r="A11" s="152"/>
      <c r="B11" s="152" t="s">
        <v>229</v>
      </c>
      <c r="C11" s="153" t="s">
        <v>292</v>
      </c>
      <c r="D11" s="151"/>
    </row>
    <row r="12" spans="1:4" s="4" customFormat="1" ht="19.5" customHeight="1">
      <c r="A12" s="152"/>
      <c r="B12" s="152" t="s">
        <v>231</v>
      </c>
      <c r="C12" s="153" t="s">
        <v>293</v>
      </c>
      <c r="D12" s="151">
        <v>19280</v>
      </c>
    </row>
    <row r="13" spans="1:4" s="4" customFormat="1" ht="19.5" customHeight="1">
      <c r="A13" s="152"/>
      <c r="B13" s="152" t="s">
        <v>233</v>
      </c>
      <c r="C13" s="153" t="s">
        <v>294</v>
      </c>
      <c r="D13" s="151">
        <v>356</v>
      </c>
    </row>
    <row r="14" spans="1:4" s="4" customFormat="1" ht="19.5" customHeight="1">
      <c r="A14" s="152"/>
      <c r="B14" s="152" t="s">
        <v>295</v>
      </c>
      <c r="C14" s="153" t="s">
        <v>296</v>
      </c>
      <c r="D14" s="151">
        <v>2709</v>
      </c>
    </row>
    <row r="15" spans="1:4" s="4" customFormat="1" ht="19.5" customHeight="1">
      <c r="A15" s="152"/>
      <c r="B15" s="152" t="s">
        <v>297</v>
      </c>
      <c r="C15" s="153" t="s">
        <v>298</v>
      </c>
      <c r="D15" s="151"/>
    </row>
    <row r="16" spans="1:4" s="4" customFormat="1" ht="19.5" customHeight="1">
      <c r="A16" s="152"/>
      <c r="B16" s="152" t="s">
        <v>299</v>
      </c>
      <c r="C16" s="153" t="s">
        <v>300</v>
      </c>
      <c r="D16" s="151"/>
    </row>
    <row r="17" spans="1:4" s="4" customFormat="1" ht="19.5" customHeight="1">
      <c r="A17" s="152"/>
      <c r="B17" s="152" t="s">
        <v>301</v>
      </c>
      <c r="C17" s="153" t="s">
        <v>302</v>
      </c>
      <c r="D17" s="151">
        <v>3619</v>
      </c>
    </row>
    <row r="18" spans="1:4" s="4" customFormat="1" ht="19.5" customHeight="1">
      <c r="A18" s="152"/>
      <c r="B18" s="152" t="s">
        <v>303</v>
      </c>
      <c r="C18" s="153" t="s">
        <v>304</v>
      </c>
      <c r="D18" s="151"/>
    </row>
    <row r="19" spans="1:4" s="4" customFormat="1" ht="19.5" customHeight="1">
      <c r="A19" s="152"/>
      <c r="B19" s="152" t="s">
        <v>235</v>
      </c>
      <c r="C19" s="153" t="s">
        <v>305</v>
      </c>
      <c r="D19" s="205">
        <v>2447</v>
      </c>
    </row>
    <row r="20" spans="1:4" s="4" customFormat="1" ht="19.5" customHeight="1">
      <c r="A20" s="152" t="s">
        <v>306</v>
      </c>
      <c r="B20" s="152"/>
      <c r="C20" s="153" t="s">
        <v>248</v>
      </c>
      <c r="D20" s="205">
        <f>SUM(D21:D47)</f>
        <v>5747</v>
      </c>
    </row>
    <row r="21" spans="1:4" s="4" customFormat="1" ht="19.5" customHeight="1">
      <c r="A21" s="152"/>
      <c r="B21" s="152" t="s">
        <v>211</v>
      </c>
      <c r="C21" s="153" t="s">
        <v>307</v>
      </c>
      <c r="D21" s="205">
        <f>1442+37+415+1</f>
        <v>1895</v>
      </c>
    </row>
    <row r="22" spans="1:4" s="4" customFormat="1" ht="19.5" customHeight="1">
      <c r="A22" s="152"/>
      <c r="B22" s="152" t="s">
        <v>213</v>
      </c>
      <c r="C22" s="153" t="s">
        <v>308</v>
      </c>
      <c r="D22" s="205"/>
    </row>
    <row r="23" spans="1:4" s="4" customFormat="1" ht="19.5" customHeight="1">
      <c r="A23" s="152"/>
      <c r="B23" s="152" t="s">
        <v>215</v>
      </c>
      <c r="C23" s="153" t="s">
        <v>309</v>
      </c>
      <c r="D23" s="205"/>
    </row>
    <row r="24" spans="1:4" s="4" customFormat="1" ht="19.5" customHeight="1">
      <c r="A24" s="152"/>
      <c r="B24" s="152" t="s">
        <v>217</v>
      </c>
      <c r="C24" s="153" t="s">
        <v>310</v>
      </c>
      <c r="D24" s="205"/>
    </row>
    <row r="25" spans="1:4" s="4" customFormat="1" ht="19.5" customHeight="1">
      <c r="A25" s="152"/>
      <c r="B25" s="152" t="s">
        <v>225</v>
      </c>
      <c r="C25" s="153" t="s">
        <v>311</v>
      </c>
      <c r="D25" s="205"/>
    </row>
    <row r="26" spans="1:4" s="4" customFormat="1" ht="19.5" customHeight="1">
      <c r="A26" s="152"/>
      <c r="B26" s="152" t="s">
        <v>227</v>
      </c>
      <c r="C26" s="153" t="s">
        <v>312</v>
      </c>
      <c r="D26" s="205"/>
    </row>
    <row r="27" spans="1:4" s="4" customFormat="1" ht="19.5" customHeight="1">
      <c r="A27" s="152"/>
      <c r="B27" s="152" t="s">
        <v>229</v>
      </c>
      <c r="C27" s="153" t="s">
        <v>313</v>
      </c>
      <c r="D27" s="205"/>
    </row>
    <row r="28" spans="1:4" s="4" customFormat="1" ht="19.5" customHeight="1">
      <c r="A28" s="152"/>
      <c r="B28" s="152" t="s">
        <v>231</v>
      </c>
      <c r="C28" s="153" t="s">
        <v>314</v>
      </c>
      <c r="D28" s="205">
        <v>856</v>
      </c>
    </row>
    <row r="29" spans="1:4" s="4" customFormat="1" ht="19.5" customHeight="1">
      <c r="A29" s="152"/>
      <c r="B29" s="152" t="s">
        <v>233</v>
      </c>
      <c r="C29" s="153" t="s">
        <v>315</v>
      </c>
      <c r="D29" s="205"/>
    </row>
    <row r="30" spans="1:4" s="5" customFormat="1" ht="19.5" customHeight="1">
      <c r="A30" s="152"/>
      <c r="B30" s="152" t="s">
        <v>297</v>
      </c>
      <c r="C30" s="153" t="s">
        <v>316</v>
      </c>
      <c r="D30" s="205"/>
    </row>
    <row r="31" spans="1:4" s="5" customFormat="1" ht="19.5" customHeight="1">
      <c r="A31" s="152"/>
      <c r="B31" s="152" t="s">
        <v>299</v>
      </c>
      <c r="C31" s="153" t="s">
        <v>317</v>
      </c>
      <c r="D31" s="205"/>
    </row>
    <row r="32" spans="1:4" s="5" customFormat="1" ht="19.5" customHeight="1">
      <c r="A32" s="152"/>
      <c r="B32" s="152" t="s">
        <v>301</v>
      </c>
      <c r="C32" s="153" t="s">
        <v>318</v>
      </c>
      <c r="D32" s="205"/>
    </row>
    <row r="33" spans="1:4" s="4" customFormat="1" ht="19.5" customHeight="1">
      <c r="A33" s="152"/>
      <c r="B33" s="152" t="s">
        <v>303</v>
      </c>
      <c r="C33" s="153" t="s">
        <v>319</v>
      </c>
      <c r="D33" s="205"/>
    </row>
    <row r="34" spans="1:4" s="4" customFormat="1" ht="19.5" customHeight="1">
      <c r="A34" s="152"/>
      <c r="B34" s="152" t="s">
        <v>320</v>
      </c>
      <c r="C34" s="153" t="s">
        <v>321</v>
      </c>
      <c r="D34" s="205"/>
    </row>
    <row r="35" spans="1:4" s="4" customFormat="1" ht="19.5" customHeight="1">
      <c r="A35" s="152"/>
      <c r="B35" s="152" t="s">
        <v>322</v>
      </c>
      <c r="C35" s="153" t="s">
        <v>323</v>
      </c>
      <c r="D35" s="205"/>
    </row>
    <row r="36" spans="1:4" s="4" customFormat="1" ht="19.5" customHeight="1">
      <c r="A36" s="152"/>
      <c r="B36" s="152" t="s">
        <v>324</v>
      </c>
      <c r="C36" s="153" t="s">
        <v>325</v>
      </c>
      <c r="D36" s="205">
        <f>95+1</f>
        <v>96</v>
      </c>
    </row>
    <row r="37" spans="1:4" s="4" customFormat="1" ht="19.5" customHeight="1">
      <c r="A37" s="152"/>
      <c r="B37" s="152" t="s">
        <v>326</v>
      </c>
      <c r="C37" s="155" t="s">
        <v>327</v>
      </c>
      <c r="D37" s="205"/>
    </row>
    <row r="38" spans="1:4" s="4" customFormat="1" ht="19.5" customHeight="1">
      <c r="A38" s="152"/>
      <c r="B38" s="152" t="s">
        <v>328</v>
      </c>
      <c r="C38" s="156" t="s">
        <v>329</v>
      </c>
      <c r="D38" s="205"/>
    </row>
    <row r="39" spans="1:4" s="4" customFormat="1" ht="19.5" customHeight="1">
      <c r="A39" s="152"/>
      <c r="B39" s="152" t="s">
        <v>330</v>
      </c>
      <c r="C39" s="156" t="s">
        <v>331</v>
      </c>
      <c r="D39" s="205"/>
    </row>
    <row r="40" spans="1:4" s="4" customFormat="1" ht="19.5" customHeight="1">
      <c r="A40" s="152"/>
      <c r="B40" s="152" t="s">
        <v>332</v>
      </c>
      <c r="C40" s="156" t="s">
        <v>333</v>
      </c>
      <c r="D40" s="205">
        <v>947</v>
      </c>
    </row>
    <row r="41" spans="1:4" s="4" customFormat="1" ht="19.5" customHeight="1">
      <c r="A41" s="152"/>
      <c r="B41" s="152" t="s">
        <v>334</v>
      </c>
      <c r="C41" s="156" t="s">
        <v>335</v>
      </c>
      <c r="D41" s="205"/>
    </row>
    <row r="42" spans="1:4" s="4" customFormat="1" ht="19.5" customHeight="1">
      <c r="A42" s="152"/>
      <c r="B42" s="152" t="s">
        <v>336</v>
      </c>
      <c r="C42" s="153" t="s">
        <v>337</v>
      </c>
      <c r="D42" s="205">
        <v>86</v>
      </c>
    </row>
    <row r="43" spans="1:4" s="4" customFormat="1" ht="19.5" customHeight="1">
      <c r="A43" s="152"/>
      <c r="B43" s="152" t="s">
        <v>338</v>
      </c>
      <c r="C43" s="153" t="s">
        <v>339</v>
      </c>
      <c r="D43" s="205">
        <v>27</v>
      </c>
    </row>
    <row r="44" spans="1:4" s="4" customFormat="1" ht="19.5" customHeight="1">
      <c r="A44" s="152"/>
      <c r="B44" s="152" t="s">
        <v>340</v>
      </c>
      <c r="C44" s="153" t="s">
        <v>341</v>
      </c>
      <c r="D44" s="205">
        <v>717</v>
      </c>
    </row>
    <row r="45" spans="1:4" s="4" customFormat="1" ht="19.5" customHeight="1">
      <c r="A45" s="152"/>
      <c r="B45" s="152" t="s">
        <v>342</v>
      </c>
      <c r="C45" s="153" t="s">
        <v>343</v>
      </c>
      <c r="D45" s="205">
        <v>650</v>
      </c>
    </row>
    <row r="46" spans="1:4" s="4" customFormat="1" ht="19.5" customHeight="1">
      <c r="A46" s="152"/>
      <c r="B46" s="152" t="s">
        <v>344</v>
      </c>
      <c r="C46" s="153" t="s">
        <v>345</v>
      </c>
      <c r="D46" s="205"/>
    </row>
    <row r="47" spans="1:4" s="4" customFormat="1" ht="19.5" customHeight="1">
      <c r="A47" s="152"/>
      <c r="B47" s="152" t="s">
        <v>235</v>
      </c>
      <c r="C47" s="153" t="s">
        <v>346</v>
      </c>
      <c r="D47" s="205">
        <v>473</v>
      </c>
    </row>
    <row r="48" spans="1:4" s="4" customFormat="1" ht="19.5" customHeight="1">
      <c r="A48" s="152" t="s">
        <v>347</v>
      </c>
      <c r="B48" s="152"/>
      <c r="C48" s="153" t="s">
        <v>348</v>
      </c>
      <c r="D48" s="205">
        <f>SUM(D49:D59)</f>
        <v>2477</v>
      </c>
    </row>
    <row r="49" spans="1:4" s="4" customFormat="1" ht="19.5" customHeight="1">
      <c r="A49" s="152"/>
      <c r="B49" s="152" t="s">
        <v>211</v>
      </c>
      <c r="C49" s="153" t="s">
        <v>349</v>
      </c>
      <c r="D49" s="205">
        <v>450</v>
      </c>
    </row>
    <row r="50" spans="1:4" s="4" customFormat="1" ht="19.5" customHeight="1">
      <c r="A50" s="152"/>
      <c r="B50" s="152" t="s">
        <v>213</v>
      </c>
      <c r="C50" s="153" t="s">
        <v>350</v>
      </c>
      <c r="D50" s="205">
        <v>303</v>
      </c>
    </row>
    <row r="51" spans="1:4" s="4" customFormat="1" ht="19.5" customHeight="1">
      <c r="A51" s="152"/>
      <c r="B51" s="152" t="s">
        <v>215</v>
      </c>
      <c r="C51" s="153" t="s">
        <v>351</v>
      </c>
      <c r="D51" s="205">
        <v>6</v>
      </c>
    </row>
    <row r="52" spans="1:4" s="4" customFormat="1" ht="19.5" customHeight="1">
      <c r="A52" s="152"/>
      <c r="B52" s="152" t="s">
        <v>217</v>
      </c>
      <c r="C52" s="153" t="s">
        <v>352</v>
      </c>
      <c r="D52" s="205"/>
    </row>
    <row r="53" spans="1:4" s="4" customFormat="1" ht="19.5" customHeight="1">
      <c r="A53" s="152"/>
      <c r="B53" s="152" t="s">
        <v>225</v>
      </c>
      <c r="C53" s="153" t="s">
        <v>353</v>
      </c>
      <c r="D53" s="205">
        <v>1661</v>
      </c>
    </row>
    <row r="54" spans="1:4" s="4" customFormat="1" ht="19.5" customHeight="1">
      <c r="A54" s="152"/>
      <c r="B54" s="152" t="s">
        <v>227</v>
      </c>
      <c r="C54" s="153" t="s">
        <v>354</v>
      </c>
      <c r="D54" s="205"/>
    </row>
    <row r="55" spans="1:4" s="4" customFormat="1" ht="19.5" customHeight="1">
      <c r="A55" s="152"/>
      <c r="B55" s="152" t="s">
        <v>229</v>
      </c>
      <c r="C55" s="153" t="s">
        <v>355</v>
      </c>
      <c r="D55" s="205">
        <v>40</v>
      </c>
    </row>
    <row r="56" spans="1:4" s="4" customFormat="1" ht="19.5" customHeight="1">
      <c r="A56" s="152"/>
      <c r="B56" s="152" t="s">
        <v>231</v>
      </c>
      <c r="C56" s="153" t="s">
        <v>356</v>
      </c>
      <c r="D56" s="205"/>
    </row>
    <row r="57" spans="1:4" s="4" customFormat="1" ht="19.5" customHeight="1">
      <c r="A57" s="152"/>
      <c r="B57" s="152" t="s">
        <v>233</v>
      </c>
      <c r="C57" s="153" t="s">
        <v>357</v>
      </c>
      <c r="D57" s="205">
        <v>7</v>
      </c>
    </row>
    <row r="58" spans="1:4" s="4" customFormat="1" ht="19.5" customHeight="1">
      <c r="A58" s="152"/>
      <c r="B58" s="152" t="s">
        <v>295</v>
      </c>
      <c r="C58" s="153" t="s">
        <v>358</v>
      </c>
      <c r="D58" s="205"/>
    </row>
    <row r="59" spans="1:4" s="4" customFormat="1" ht="19.5" customHeight="1">
      <c r="A59" s="152"/>
      <c r="B59" s="152" t="s">
        <v>235</v>
      </c>
      <c r="C59" s="153" t="s">
        <v>359</v>
      </c>
      <c r="D59" s="205">
        <v>10</v>
      </c>
    </row>
    <row r="60" spans="1:4" s="4" customFormat="1" ht="14.25" hidden="1">
      <c r="A60" s="9" t="s">
        <v>360</v>
      </c>
      <c r="B60" s="9"/>
      <c r="C60" s="10" t="s">
        <v>361</v>
      </c>
      <c r="D60" s="11"/>
    </row>
    <row r="61" spans="1:4" s="4" customFormat="1" ht="14.25" hidden="1">
      <c r="A61" s="9"/>
      <c r="B61" s="9" t="s">
        <v>211</v>
      </c>
      <c r="C61" s="12" t="s">
        <v>362</v>
      </c>
      <c r="D61" s="11"/>
    </row>
    <row r="62" spans="1:4" s="4" customFormat="1" ht="14.25" hidden="1">
      <c r="A62" s="9"/>
      <c r="B62" s="9" t="s">
        <v>213</v>
      </c>
      <c r="C62" s="12" t="s">
        <v>363</v>
      </c>
      <c r="D62" s="11"/>
    </row>
    <row r="63" spans="1:4" s="4" customFormat="1" ht="14.25" hidden="1">
      <c r="A63" s="9"/>
      <c r="B63" s="9" t="s">
        <v>215</v>
      </c>
      <c r="C63" s="12" t="s">
        <v>364</v>
      </c>
      <c r="D63" s="11"/>
    </row>
    <row r="64" spans="1:4" s="4" customFormat="1" ht="14.25" hidden="1">
      <c r="A64" s="9"/>
      <c r="B64" s="9" t="s">
        <v>225</v>
      </c>
      <c r="C64" s="12" t="s">
        <v>239</v>
      </c>
      <c r="D64" s="11"/>
    </row>
    <row r="65" spans="1:4" s="4" customFormat="1" ht="14.25" hidden="1">
      <c r="A65" s="9"/>
      <c r="B65" s="9" t="s">
        <v>227</v>
      </c>
      <c r="C65" s="12" t="s">
        <v>243</v>
      </c>
      <c r="D65" s="11"/>
    </row>
    <row r="66" spans="1:4" s="4" customFormat="1" ht="14.25" hidden="1">
      <c r="A66" s="9"/>
      <c r="B66" s="9" t="s">
        <v>229</v>
      </c>
      <c r="C66" s="12" t="s">
        <v>365</v>
      </c>
      <c r="D66" s="11"/>
    </row>
    <row r="67" spans="1:4" s="4" customFormat="1" ht="14.25" hidden="1">
      <c r="A67" s="9"/>
      <c r="B67" s="9" t="s">
        <v>231</v>
      </c>
      <c r="C67" s="12" t="s">
        <v>366</v>
      </c>
      <c r="D67" s="11"/>
    </row>
    <row r="68" spans="1:4" s="4" customFormat="1" ht="14.25" hidden="1">
      <c r="A68" s="9"/>
      <c r="B68" s="9" t="s">
        <v>233</v>
      </c>
      <c r="C68" s="12" t="s">
        <v>367</v>
      </c>
      <c r="D68" s="11"/>
    </row>
    <row r="69" spans="1:4" s="4" customFormat="1" ht="14.25" hidden="1">
      <c r="A69" s="9"/>
      <c r="B69" s="9" t="s">
        <v>295</v>
      </c>
      <c r="C69" s="12" t="s">
        <v>368</v>
      </c>
      <c r="D69" s="11"/>
    </row>
    <row r="70" spans="1:4" s="4" customFormat="1" ht="14.25" hidden="1">
      <c r="A70" s="9"/>
      <c r="B70" s="9" t="s">
        <v>297</v>
      </c>
      <c r="C70" s="12" t="s">
        <v>369</v>
      </c>
      <c r="D70" s="11"/>
    </row>
    <row r="71" spans="1:4" s="4" customFormat="1" ht="14.25" hidden="1">
      <c r="A71" s="9"/>
      <c r="B71" s="9" t="s">
        <v>299</v>
      </c>
      <c r="C71" s="12" t="s">
        <v>370</v>
      </c>
      <c r="D71" s="11"/>
    </row>
    <row r="72" spans="1:4" s="4" customFormat="1" ht="14.25" hidden="1">
      <c r="A72" s="9"/>
      <c r="B72" s="9" t="s">
        <v>301</v>
      </c>
      <c r="C72" s="12" t="s">
        <v>240</v>
      </c>
      <c r="D72" s="11"/>
    </row>
    <row r="73" spans="1:4" s="4" customFormat="1" ht="14.25" hidden="1">
      <c r="A73" s="9"/>
      <c r="B73" s="9" t="s">
        <v>371</v>
      </c>
      <c r="C73" s="12" t="s">
        <v>372</v>
      </c>
      <c r="D73" s="11"/>
    </row>
    <row r="74" spans="1:4" s="4" customFormat="1" ht="14.25" hidden="1">
      <c r="A74" s="9"/>
      <c r="B74" s="9" t="s">
        <v>373</v>
      </c>
      <c r="C74" s="12" t="s">
        <v>374</v>
      </c>
      <c r="D74" s="11"/>
    </row>
    <row r="75" spans="1:4" s="4" customFormat="1" ht="14.25" hidden="1">
      <c r="A75" s="9"/>
      <c r="B75" s="9" t="s">
        <v>375</v>
      </c>
      <c r="C75" s="12" t="s">
        <v>376</v>
      </c>
      <c r="D75" s="11"/>
    </row>
    <row r="76" spans="1:4" s="4" customFormat="1" ht="14.25" hidden="1">
      <c r="A76" s="9"/>
      <c r="B76" s="9" t="s">
        <v>235</v>
      </c>
      <c r="C76" s="12" t="s">
        <v>244</v>
      </c>
      <c r="D76" s="11"/>
    </row>
  </sheetData>
  <sheetProtection/>
  <mergeCells count="3">
    <mergeCell ref="A1:D1"/>
    <mergeCell ref="C3:C4"/>
    <mergeCell ref="D3:D4"/>
  </mergeCells>
  <printOptions horizontalCentered="1"/>
  <pageMargins left="0.75" right="0.75" top="0.23" bottom="0.28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showZeros="0" zoomScalePageLayoutView="0" workbookViewId="0" topLeftCell="A1">
      <selection activeCell="A46" sqref="A46"/>
    </sheetView>
  </sheetViews>
  <sheetFormatPr defaultColWidth="9.125" defaultRowHeight="14.25"/>
  <cols>
    <col min="1" max="1" width="36.375" style="95" customWidth="1"/>
    <col min="2" max="2" width="14.125" style="95" customWidth="1"/>
    <col min="3" max="3" width="15.00390625" style="95" customWidth="1"/>
    <col min="4" max="4" width="14.125" style="95" customWidth="1"/>
    <col min="5" max="5" width="10.875" style="95" bestFit="1" customWidth="1"/>
    <col min="6" max="16384" width="9.125" style="95" customWidth="1"/>
  </cols>
  <sheetData>
    <row r="1" spans="1:6" ht="33.75" customHeight="1">
      <c r="A1" s="249" t="s">
        <v>695</v>
      </c>
      <c r="B1" s="250"/>
      <c r="C1" s="250"/>
      <c r="D1" s="250"/>
      <c r="E1" s="250"/>
      <c r="F1" s="250"/>
    </row>
    <row r="2" spans="1:6" ht="16.5" customHeight="1">
      <c r="A2" s="251"/>
      <c r="B2" s="251"/>
      <c r="C2" s="251"/>
      <c r="D2" s="251"/>
      <c r="F2" s="96" t="s">
        <v>1</v>
      </c>
    </row>
    <row r="3" spans="1:6" ht="22.5" customHeight="1">
      <c r="A3" s="97" t="s">
        <v>16</v>
      </c>
      <c r="B3" s="97" t="s">
        <v>696</v>
      </c>
      <c r="C3" s="97" t="s">
        <v>648</v>
      </c>
      <c r="D3" s="98" t="s">
        <v>697</v>
      </c>
      <c r="E3" s="97" t="s">
        <v>410</v>
      </c>
      <c r="F3" s="97" t="s">
        <v>649</v>
      </c>
    </row>
    <row r="4" spans="1:6" ht="16.5" customHeight="1">
      <c r="A4" s="99" t="s">
        <v>650</v>
      </c>
      <c r="B4" s="100">
        <f>SUM(B5,B10,B30)</f>
        <v>129006</v>
      </c>
      <c r="C4" s="100">
        <f>SUM(C5,C10,C30)</f>
        <v>173556</v>
      </c>
      <c r="D4" s="100">
        <f>SUM(D5,D10,D30)</f>
        <v>-44550</v>
      </c>
      <c r="E4" s="206">
        <f>D4/C4*100</f>
        <v>-25.66894835096453</v>
      </c>
      <c r="F4" s="207"/>
    </row>
    <row r="5" spans="1:6" ht="16.5" customHeight="1">
      <c r="A5" s="99" t="s">
        <v>651</v>
      </c>
      <c r="B5" s="100">
        <f>SUM(B6:B9)</f>
        <v>4984</v>
      </c>
      <c r="C5" s="100">
        <f>SUM(C6:C9)</f>
        <v>4984</v>
      </c>
      <c r="D5" s="100">
        <f>SUM(D6:D9)</f>
        <v>0</v>
      </c>
      <c r="E5" s="206">
        <f aca="true" t="shared" si="0" ref="E5:E48">D5/C5*100</f>
        <v>0</v>
      </c>
      <c r="F5" s="207"/>
    </row>
    <row r="6" spans="1:6" ht="16.5" customHeight="1">
      <c r="A6" s="101" t="s">
        <v>652</v>
      </c>
      <c r="B6" s="102">
        <v>2835</v>
      </c>
      <c r="C6" s="100">
        <v>2835</v>
      </c>
      <c r="D6" s="102">
        <f>B6-C6</f>
        <v>0</v>
      </c>
      <c r="E6" s="206">
        <f t="shared" si="0"/>
        <v>0</v>
      </c>
      <c r="F6" s="207"/>
    </row>
    <row r="7" spans="1:6" ht="16.5" customHeight="1">
      <c r="A7" s="101" t="s">
        <v>653</v>
      </c>
      <c r="B7" s="102">
        <v>1174</v>
      </c>
      <c r="C7" s="100">
        <v>1174</v>
      </c>
      <c r="D7" s="102">
        <f aca="true" t="shared" si="1" ref="D7:D50">B7-C7</f>
        <v>0</v>
      </c>
      <c r="E7" s="206">
        <f t="shared" si="0"/>
        <v>0</v>
      </c>
      <c r="F7" s="207"/>
    </row>
    <row r="8" spans="1:6" ht="16.5" customHeight="1">
      <c r="A8" s="101" t="s">
        <v>654</v>
      </c>
      <c r="B8" s="102"/>
      <c r="C8" s="103"/>
      <c r="D8" s="102">
        <f t="shared" si="1"/>
        <v>0</v>
      </c>
      <c r="E8" s="206"/>
      <c r="F8" s="207"/>
    </row>
    <row r="9" spans="1:6" ht="16.5" customHeight="1">
      <c r="A9" s="101" t="s">
        <v>655</v>
      </c>
      <c r="B9" s="102">
        <v>975</v>
      </c>
      <c r="C9" s="100">
        <v>975</v>
      </c>
      <c r="D9" s="102">
        <f t="shared" si="1"/>
        <v>0</v>
      </c>
      <c r="E9" s="206"/>
      <c r="F9" s="207"/>
    </row>
    <row r="10" spans="1:6" ht="16.5" customHeight="1">
      <c r="A10" s="99" t="s">
        <v>656</v>
      </c>
      <c r="B10" s="100">
        <f>SUM(B11:B29)</f>
        <v>75289</v>
      </c>
      <c r="C10" s="100">
        <f>SUM(C11:C29)</f>
        <v>72825</v>
      </c>
      <c r="D10" s="100">
        <f>SUM(D11:D29)</f>
        <v>2464</v>
      </c>
      <c r="E10" s="206">
        <f t="shared" si="0"/>
        <v>3.3834534843803636</v>
      </c>
      <c r="F10" s="207"/>
    </row>
    <row r="11" spans="1:6" ht="16.5" customHeight="1">
      <c r="A11" s="101" t="s">
        <v>657</v>
      </c>
      <c r="B11" s="102">
        <v>1598</v>
      </c>
      <c r="C11" s="100">
        <v>1598</v>
      </c>
      <c r="D11" s="102">
        <f t="shared" si="1"/>
        <v>0</v>
      </c>
      <c r="E11" s="206">
        <f t="shared" si="0"/>
        <v>0</v>
      </c>
      <c r="F11" s="207"/>
    </row>
    <row r="12" spans="1:6" ht="16.5" customHeight="1">
      <c r="A12" s="101" t="s">
        <v>658</v>
      </c>
      <c r="B12" s="102">
        <v>27808</v>
      </c>
      <c r="C12" s="100">
        <v>27808</v>
      </c>
      <c r="D12" s="102">
        <f t="shared" si="1"/>
        <v>0</v>
      </c>
      <c r="E12" s="206">
        <f t="shared" si="0"/>
        <v>0</v>
      </c>
      <c r="F12" s="207"/>
    </row>
    <row r="13" spans="1:6" ht="16.5" customHeight="1">
      <c r="A13" s="101" t="s">
        <v>659</v>
      </c>
      <c r="B13" s="102">
        <v>4479</v>
      </c>
      <c r="C13" s="100">
        <v>4479</v>
      </c>
      <c r="D13" s="102">
        <f t="shared" si="1"/>
        <v>0</v>
      </c>
      <c r="E13" s="206">
        <f t="shared" si="0"/>
        <v>0</v>
      </c>
      <c r="F13" s="207"/>
    </row>
    <row r="14" spans="1:6" ht="16.5" customHeight="1">
      <c r="A14" s="101" t="s">
        <v>660</v>
      </c>
      <c r="B14" s="102">
        <v>10123</v>
      </c>
      <c r="C14" s="100">
        <v>9870</v>
      </c>
      <c r="D14" s="102">
        <f t="shared" si="1"/>
        <v>253</v>
      </c>
      <c r="E14" s="206">
        <f t="shared" si="0"/>
        <v>2.563323201621074</v>
      </c>
      <c r="F14" s="207"/>
    </row>
    <row r="15" spans="1:6" ht="16.5" customHeight="1">
      <c r="A15" s="101" t="s">
        <v>661</v>
      </c>
      <c r="B15" s="102"/>
      <c r="C15" s="100"/>
      <c r="D15" s="102">
        <f t="shared" si="1"/>
        <v>0</v>
      </c>
      <c r="E15" s="206"/>
      <c r="F15" s="207"/>
    </row>
    <row r="16" spans="1:6" ht="16.5" customHeight="1">
      <c r="A16" s="101" t="s">
        <v>662</v>
      </c>
      <c r="B16" s="102"/>
      <c r="C16" s="100"/>
      <c r="D16" s="102">
        <f t="shared" si="1"/>
        <v>0</v>
      </c>
      <c r="E16" s="206"/>
      <c r="F16" s="207"/>
    </row>
    <row r="17" spans="1:6" ht="16.5" customHeight="1">
      <c r="A17" s="101" t="s">
        <v>663</v>
      </c>
      <c r="B17" s="102">
        <v>1315</v>
      </c>
      <c r="C17" s="102">
        <v>1315</v>
      </c>
      <c r="D17" s="102">
        <f t="shared" si="1"/>
        <v>0</v>
      </c>
      <c r="E17" s="206">
        <f t="shared" si="0"/>
        <v>0</v>
      </c>
      <c r="F17" s="207"/>
    </row>
    <row r="18" spans="1:6" ht="16.5" customHeight="1">
      <c r="A18" s="101" t="s">
        <v>664</v>
      </c>
      <c r="B18" s="102"/>
      <c r="C18" s="100"/>
      <c r="D18" s="102">
        <f t="shared" si="1"/>
        <v>0</v>
      </c>
      <c r="E18" s="206"/>
      <c r="F18" s="207"/>
    </row>
    <row r="19" spans="1:6" ht="16.5" customHeight="1">
      <c r="A19" s="101" t="s">
        <v>665</v>
      </c>
      <c r="B19" s="102"/>
      <c r="C19" s="100"/>
      <c r="D19" s="102">
        <f t="shared" si="1"/>
        <v>0</v>
      </c>
      <c r="E19" s="206"/>
      <c r="F19" s="207"/>
    </row>
    <row r="20" spans="1:6" ht="16.5" customHeight="1">
      <c r="A20" s="101" t="s">
        <v>666</v>
      </c>
      <c r="B20" s="102">
        <v>263</v>
      </c>
      <c r="C20" s="102">
        <v>263</v>
      </c>
      <c r="D20" s="102">
        <f t="shared" si="1"/>
        <v>0</v>
      </c>
      <c r="E20" s="206">
        <f t="shared" si="0"/>
        <v>0</v>
      </c>
      <c r="F20" s="207"/>
    </row>
    <row r="21" spans="1:6" ht="16.5" customHeight="1">
      <c r="A21" s="101" t="s">
        <v>667</v>
      </c>
      <c r="B21" s="102"/>
      <c r="C21" s="100"/>
      <c r="D21" s="102">
        <f t="shared" si="1"/>
        <v>0</v>
      </c>
      <c r="E21" s="206"/>
      <c r="F21" s="207"/>
    </row>
    <row r="22" spans="1:6" ht="16.5" customHeight="1">
      <c r="A22" s="101" t="s">
        <v>668</v>
      </c>
      <c r="B22" s="102"/>
      <c r="C22" s="100"/>
      <c r="D22" s="102">
        <f t="shared" si="1"/>
        <v>0</v>
      </c>
      <c r="E22" s="206"/>
      <c r="F22" s="207"/>
    </row>
    <row r="23" spans="1:6" ht="16.5" customHeight="1">
      <c r="A23" s="101" t="s">
        <v>669</v>
      </c>
      <c r="B23" s="102"/>
      <c r="C23" s="100"/>
      <c r="D23" s="102">
        <f t="shared" si="1"/>
        <v>0</v>
      </c>
      <c r="E23" s="206"/>
      <c r="F23" s="207"/>
    </row>
    <row r="24" spans="1:6" ht="16.5" customHeight="1">
      <c r="A24" s="101" t="s">
        <v>670</v>
      </c>
      <c r="B24" s="102"/>
      <c r="C24" s="100"/>
      <c r="D24" s="102">
        <f t="shared" si="1"/>
        <v>0</v>
      </c>
      <c r="E24" s="206"/>
      <c r="F24" s="207"/>
    </row>
    <row r="25" spans="1:6" ht="16.5" customHeight="1">
      <c r="A25" s="101" t="s">
        <v>671</v>
      </c>
      <c r="B25" s="102">
        <v>7021</v>
      </c>
      <c r="C25" s="100">
        <v>5210</v>
      </c>
      <c r="D25" s="102">
        <f t="shared" si="1"/>
        <v>1811</v>
      </c>
      <c r="E25" s="206">
        <f t="shared" si="0"/>
        <v>34.76007677543186</v>
      </c>
      <c r="F25" s="207"/>
    </row>
    <row r="26" spans="1:6" ht="16.5" customHeight="1">
      <c r="A26" s="101" t="s">
        <v>672</v>
      </c>
      <c r="B26" s="102">
        <v>11744</v>
      </c>
      <c r="C26" s="100">
        <v>12206</v>
      </c>
      <c r="D26" s="102">
        <f t="shared" si="1"/>
        <v>-462</v>
      </c>
      <c r="E26" s="206">
        <f t="shared" si="0"/>
        <v>-3.785023758807144</v>
      </c>
      <c r="F26" s="207"/>
    </row>
    <row r="27" spans="1:6" ht="16.5" customHeight="1">
      <c r="A27" s="157" t="s">
        <v>716</v>
      </c>
      <c r="B27" s="102">
        <v>567</v>
      </c>
      <c r="C27" s="100">
        <v>630</v>
      </c>
      <c r="D27" s="102">
        <f t="shared" si="1"/>
        <v>-63</v>
      </c>
      <c r="E27" s="206">
        <f t="shared" si="0"/>
        <v>-10</v>
      </c>
      <c r="F27" s="207"/>
    </row>
    <row r="28" spans="1:6" ht="16.5" customHeight="1">
      <c r="A28" s="157" t="s">
        <v>717</v>
      </c>
      <c r="B28" s="102">
        <v>10371</v>
      </c>
      <c r="C28" s="100">
        <v>9446</v>
      </c>
      <c r="D28" s="102">
        <f t="shared" si="1"/>
        <v>925</v>
      </c>
      <c r="E28" s="206">
        <f t="shared" si="0"/>
        <v>9.792504763921237</v>
      </c>
      <c r="F28" s="207"/>
    </row>
    <row r="29" spans="1:6" ht="16.5" customHeight="1">
      <c r="A29" s="101" t="s">
        <v>673</v>
      </c>
      <c r="B29" s="102"/>
      <c r="C29" s="100"/>
      <c r="D29" s="102">
        <f t="shared" si="1"/>
        <v>0</v>
      </c>
      <c r="E29" s="206"/>
      <c r="F29" s="207"/>
    </row>
    <row r="30" spans="1:6" ht="16.5" customHeight="1">
      <c r="A30" s="99" t="s">
        <v>674</v>
      </c>
      <c r="B30" s="100">
        <f>SUM(B31:B50)</f>
        <v>48733</v>
      </c>
      <c r="C30" s="100">
        <f>SUM(C31:C50)</f>
        <v>95747</v>
      </c>
      <c r="D30" s="100">
        <f>SUM(D31:D50)</f>
        <v>-47014</v>
      </c>
      <c r="E30" s="206">
        <f t="shared" si="0"/>
        <v>-49.102321743762204</v>
      </c>
      <c r="F30" s="207"/>
    </row>
    <row r="31" spans="1:6" ht="17.25" customHeight="1">
      <c r="A31" s="101" t="s">
        <v>675</v>
      </c>
      <c r="B31" s="102">
        <v>17</v>
      </c>
      <c r="C31" s="100">
        <v>391</v>
      </c>
      <c r="D31" s="102">
        <f t="shared" si="1"/>
        <v>-374</v>
      </c>
      <c r="E31" s="206">
        <f t="shared" si="0"/>
        <v>-95.65217391304348</v>
      </c>
      <c r="F31" s="207"/>
    </row>
    <row r="32" spans="1:6" ht="17.25" customHeight="1">
      <c r="A32" s="101" t="s">
        <v>676</v>
      </c>
      <c r="B32" s="102"/>
      <c r="C32" s="100"/>
      <c r="D32" s="102">
        <f t="shared" si="1"/>
        <v>0</v>
      </c>
      <c r="E32" s="206"/>
      <c r="F32" s="207"/>
    </row>
    <row r="33" spans="1:6" ht="17.25" customHeight="1">
      <c r="A33" s="101" t="s">
        <v>677</v>
      </c>
      <c r="B33" s="102"/>
      <c r="C33" s="100"/>
      <c r="D33" s="102">
        <f t="shared" si="1"/>
        <v>0</v>
      </c>
      <c r="E33" s="206"/>
      <c r="F33" s="207"/>
    </row>
    <row r="34" spans="1:6" ht="17.25" customHeight="1">
      <c r="A34" s="101" t="s">
        <v>678</v>
      </c>
      <c r="B34" s="104">
        <v>728</v>
      </c>
      <c r="C34" s="100">
        <v>1726</v>
      </c>
      <c r="D34" s="102">
        <f t="shared" si="1"/>
        <v>-998</v>
      </c>
      <c r="E34" s="206">
        <f t="shared" si="0"/>
        <v>-57.8215527230591</v>
      </c>
      <c r="F34" s="207"/>
    </row>
    <row r="35" spans="1:6" ht="16.5" customHeight="1">
      <c r="A35" s="105" t="s">
        <v>679</v>
      </c>
      <c r="B35" s="102">
        <v>2241</v>
      </c>
      <c r="C35" s="106">
        <v>8537</v>
      </c>
      <c r="D35" s="102">
        <f t="shared" si="1"/>
        <v>-6296</v>
      </c>
      <c r="E35" s="206">
        <f t="shared" si="0"/>
        <v>-73.74956073562142</v>
      </c>
      <c r="F35" s="207"/>
    </row>
    <row r="36" spans="1:6" ht="16.5" customHeight="1">
      <c r="A36" s="101" t="s">
        <v>680</v>
      </c>
      <c r="B36" s="107">
        <v>13</v>
      </c>
      <c r="C36" s="100"/>
      <c r="D36" s="102">
        <f t="shared" si="1"/>
        <v>13</v>
      </c>
      <c r="E36" s="206"/>
      <c r="F36" s="207"/>
    </row>
    <row r="37" spans="1:6" ht="16.5" customHeight="1">
      <c r="A37" s="101" t="s">
        <v>681</v>
      </c>
      <c r="B37" s="102">
        <v>213</v>
      </c>
      <c r="C37" s="100">
        <v>441</v>
      </c>
      <c r="D37" s="102">
        <f t="shared" si="1"/>
        <v>-228</v>
      </c>
      <c r="E37" s="206">
        <f t="shared" si="0"/>
        <v>-51.70068027210885</v>
      </c>
      <c r="F37" s="207"/>
    </row>
    <row r="38" spans="1:6" ht="16.5" customHeight="1">
      <c r="A38" s="101" t="s">
        <v>682</v>
      </c>
      <c r="B38" s="102">
        <v>7752</v>
      </c>
      <c r="C38" s="100">
        <v>7993</v>
      </c>
      <c r="D38" s="102">
        <f t="shared" si="1"/>
        <v>-241</v>
      </c>
      <c r="E38" s="206">
        <f t="shared" si="0"/>
        <v>-3.0151382459652196</v>
      </c>
      <c r="F38" s="207"/>
    </row>
    <row r="39" spans="1:6" ht="16.5" customHeight="1">
      <c r="A39" s="101" t="s">
        <v>683</v>
      </c>
      <c r="B39" s="102">
        <v>5885</v>
      </c>
      <c r="C39" s="100">
        <v>9863</v>
      </c>
      <c r="D39" s="102">
        <f t="shared" si="1"/>
        <v>-3978</v>
      </c>
      <c r="E39" s="206">
        <f t="shared" si="0"/>
        <v>-40.33255601743891</v>
      </c>
      <c r="F39" s="207"/>
    </row>
    <row r="40" spans="1:6" ht="16.5" customHeight="1">
      <c r="A40" s="101" t="s">
        <v>684</v>
      </c>
      <c r="B40" s="102">
        <v>1594</v>
      </c>
      <c r="C40" s="100">
        <v>4736</v>
      </c>
      <c r="D40" s="102">
        <f t="shared" si="1"/>
        <v>-3142</v>
      </c>
      <c r="E40" s="206">
        <f t="shared" si="0"/>
        <v>-66.3429054054054</v>
      </c>
      <c r="F40" s="207"/>
    </row>
    <row r="41" spans="1:6" ht="16.5" customHeight="1">
      <c r="A41" s="101" t="s">
        <v>685</v>
      </c>
      <c r="B41" s="102"/>
      <c r="C41" s="100">
        <v>5281</v>
      </c>
      <c r="D41" s="102">
        <f t="shared" si="1"/>
        <v>-5281</v>
      </c>
      <c r="E41" s="206">
        <f t="shared" si="0"/>
        <v>-100</v>
      </c>
      <c r="F41" s="207"/>
    </row>
    <row r="42" spans="1:6" ht="16.5" customHeight="1">
      <c r="A42" s="101" t="s">
        <v>686</v>
      </c>
      <c r="B42" s="102">
        <v>24260</v>
      </c>
      <c r="C42" s="100">
        <v>40171</v>
      </c>
      <c r="D42" s="102">
        <f t="shared" si="1"/>
        <v>-15911</v>
      </c>
      <c r="E42" s="206">
        <f t="shared" si="0"/>
        <v>-39.60817505165418</v>
      </c>
      <c r="F42" s="207"/>
    </row>
    <row r="43" spans="1:6" ht="16.5" customHeight="1">
      <c r="A43" s="101" t="s">
        <v>687</v>
      </c>
      <c r="B43" s="102">
        <v>5373</v>
      </c>
      <c r="C43" s="100">
        <v>8708</v>
      </c>
      <c r="D43" s="102">
        <f t="shared" si="1"/>
        <v>-3335</v>
      </c>
      <c r="E43" s="206">
        <f t="shared" si="0"/>
        <v>-38.298116674322465</v>
      </c>
      <c r="F43" s="207"/>
    </row>
    <row r="44" spans="1:6" ht="16.5" customHeight="1">
      <c r="A44" s="101" t="s">
        <v>688</v>
      </c>
      <c r="B44" s="102"/>
      <c r="C44" s="100"/>
      <c r="D44" s="102">
        <f t="shared" si="1"/>
        <v>0</v>
      </c>
      <c r="E44" s="206"/>
      <c r="F44" s="207"/>
    </row>
    <row r="45" spans="1:6" ht="16.5" customHeight="1">
      <c r="A45" s="101" t="s">
        <v>689</v>
      </c>
      <c r="B45" s="102"/>
      <c r="C45" s="100">
        <v>19</v>
      </c>
      <c r="D45" s="102">
        <f t="shared" si="1"/>
        <v>-19</v>
      </c>
      <c r="E45" s="206"/>
      <c r="F45" s="207"/>
    </row>
    <row r="46" spans="1:6" ht="16.5" customHeight="1">
      <c r="A46" s="101" t="s">
        <v>690</v>
      </c>
      <c r="B46" s="102"/>
      <c r="C46" s="100"/>
      <c r="D46" s="102">
        <f t="shared" si="1"/>
        <v>0</v>
      </c>
      <c r="E46" s="206"/>
      <c r="F46" s="207"/>
    </row>
    <row r="47" spans="1:6" ht="16.5" customHeight="1">
      <c r="A47" s="101" t="s">
        <v>691</v>
      </c>
      <c r="B47" s="102">
        <v>657</v>
      </c>
      <c r="C47" s="100">
        <v>2709</v>
      </c>
      <c r="D47" s="102">
        <f t="shared" si="1"/>
        <v>-2052</v>
      </c>
      <c r="E47" s="206"/>
      <c r="F47" s="207"/>
    </row>
    <row r="48" spans="1:6" ht="16.5" customHeight="1">
      <c r="A48" s="101" t="s">
        <v>692</v>
      </c>
      <c r="B48" s="102"/>
      <c r="C48" s="100">
        <v>5113</v>
      </c>
      <c r="D48" s="102">
        <f t="shared" si="1"/>
        <v>-5113</v>
      </c>
      <c r="E48" s="206">
        <f t="shared" si="0"/>
        <v>-100</v>
      </c>
      <c r="F48" s="207"/>
    </row>
    <row r="49" spans="1:6" ht="16.5" customHeight="1">
      <c r="A49" s="101" t="s">
        <v>693</v>
      </c>
      <c r="B49" s="102"/>
      <c r="C49" s="100"/>
      <c r="D49" s="102">
        <f t="shared" si="1"/>
        <v>0</v>
      </c>
      <c r="E49" s="206"/>
      <c r="F49" s="207"/>
    </row>
    <row r="50" spans="1:6" ht="16.5" customHeight="1">
      <c r="A50" s="101" t="s">
        <v>694</v>
      </c>
      <c r="B50" s="102"/>
      <c r="C50" s="100">
        <v>59</v>
      </c>
      <c r="D50" s="102">
        <f t="shared" si="1"/>
        <v>-59</v>
      </c>
      <c r="E50" s="206"/>
      <c r="F50" s="207"/>
    </row>
  </sheetData>
  <sheetProtection/>
  <mergeCells count="2">
    <mergeCell ref="A1:F1"/>
    <mergeCell ref="A2:D2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5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10.625" style="108" customWidth="1"/>
    <col min="2" max="4" width="20.625" style="108" customWidth="1"/>
    <col min="5" max="16384" width="9.00390625" style="108" customWidth="1"/>
  </cols>
  <sheetData>
    <row r="1" spans="1:4" ht="49.5" customHeight="1">
      <c r="A1" s="252" t="s">
        <v>788</v>
      </c>
      <c r="B1" s="252"/>
      <c r="C1" s="252"/>
      <c r="D1" s="252"/>
    </row>
    <row r="2" ht="47.25" customHeight="1" thickBot="1">
      <c r="D2" s="109" t="s">
        <v>698</v>
      </c>
    </row>
    <row r="3" spans="1:4" ht="49.5" customHeight="1">
      <c r="A3" s="110" t="s">
        <v>699</v>
      </c>
      <c r="B3" s="111" t="s">
        <v>700</v>
      </c>
      <c r="C3" s="111" t="s">
        <v>701</v>
      </c>
      <c r="D3" s="112" t="s">
        <v>702</v>
      </c>
    </row>
    <row r="4" spans="1:4" ht="49.5" customHeight="1">
      <c r="A4" s="253">
        <v>2017</v>
      </c>
      <c r="B4" s="113" t="s">
        <v>703</v>
      </c>
      <c r="C4" s="114">
        <v>60700</v>
      </c>
      <c r="D4" s="115">
        <v>55520</v>
      </c>
    </row>
    <row r="5" spans="1:4" ht="49.5" customHeight="1" thickBot="1">
      <c r="A5" s="254"/>
      <c r="B5" s="116" t="s">
        <v>704</v>
      </c>
      <c r="C5" s="117">
        <f>C4</f>
        <v>60700</v>
      </c>
      <c r="D5" s="118">
        <f>D4</f>
        <v>55520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subject/>
  <dc:creator>预算管理局-袁鹏</dc:creator>
  <cp:keywords/>
  <dc:description/>
  <cp:lastModifiedBy>Administrator</cp:lastModifiedBy>
  <cp:lastPrinted>2018-05-02T02:18:30Z</cp:lastPrinted>
  <dcterms:created xsi:type="dcterms:W3CDTF">2017-12-18T02:34:37Z</dcterms:created>
  <dcterms:modified xsi:type="dcterms:W3CDTF">2018-05-11T07:30:33Z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