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tabRatio="791" activeTab="2"/>
  </bookViews>
  <sheets>
    <sheet name="皮" sheetId="1" r:id="rId1"/>
    <sheet name="2017一般公共预算收入决算表  " sheetId="2" r:id="rId2"/>
    <sheet name="2017年一般公共预算支出（功能类）" sheetId="3" r:id="rId3"/>
    <sheet name="2017年一般公共预算支出经济类" sheetId="4" r:id="rId4"/>
    <sheet name="2017年一般公共预算收支平衡表" sheetId="5" r:id="rId5"/>
    <sheet name="2017年一般公共预算转移支付决算表" sheetId="6" r:id="rId6"/>
    <sheet name="2017年政府一般债务限额及余额明细表" sheetId="7" r:id="rId7"/>
    <sheet name="2017年新宾县“三公”经费决算汇总表 " sheetId="8" r:id="rId8"/>
  </sheets>
  <definedNames>
    <definedName name="OLE_LINK1" localSheetId="7">'2017年新宾县“三公”经费决算汇总表 '!$A$51</definedName>
    <definedName name="_xlnm.Print_Area" localSheetId="7">#N/A</definedName>
    <definedName name="_xlnm.Print_Area" localSheetId="4">'2017年一般公共预算收支平衡表'!$A$1:$D$14</definedName>
    <definedName name="_xlnm.Print_Area" localSheetId="2">'2017年一般公共预算支出（功能类）'!$A$1:$F$521</definedName>
    <definedName name="_xlnm.Print_Area" localSheetId="3">'2017年一般公共预算支出经济类'!$A$1:$B$50</definedName>
    <definedName name="_xlnm.Print_Area" localSheetId="1">'2017一般公共预算收入决算表  '!$A$1:$F$37</definedName>
    <definedName name="_xlnm.Print_Area">#N/A</definedName>
    <definedName name="_xlnm.Print_Titles" localSheetId="4">'2017年一般公共预算收支平衡表'!$A:$A,'2017年一般公共预算收支平衡表'!$1:$3</definedName>
    <definedName name="_xlnm.Print_Titles" localSheetId="2">'2017年一般公共预算支出（功能类）'!$1:$4</definedName>
    <definedName name="_xlnm.Print_Titles" localSheetId="3">'2017年一般公共预算支出经济类'!$1:$4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<sst xmlns="http://schemas.openxmlformats.org/spreadsheetml/2006/main" count="736" uniqueCount="632">
  <si>
    <t>(分税口径）</t>
  </si>
  <si>
    <t>单位：万元</t>
  </si>
  <si>
    <t>项       目</t>
  </si>
  <si>
    <t>增减额</t>
  </si>
  <si>
    <t>增减%</t>
  </si>
  <si>
    <t>一般公共政预算收入合计</t>
  </si>
  <si>
    <t>一、税收收入</t>
  </si>
  <si>
    <t>2.营业税</t>
  </si>
  <si>
    <t>3.企业所得税（40%部分）</t>
  </si>
  <si>
    <t xml:space="preserve">   其中：国税征收</t>
  </si>
  <si>
    <t xml:space="preserve">         地税征收</t>
  </si>
  <si>
    <t>4.个人所得税（40%部分）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</si>
  <si>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</si>
  <si>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</si>
  <si>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</si>
  <si>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</si>
  <si>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</si>
  <si>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</si>
  <si>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</si>
  <si>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</si>
  <si>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</si>
  <si>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 xml:space="preserve"> 14.烟叶税</t>
  </si>
  <si>
    <t>二、非税收入</t>
  </si>
  <si>
    <t>1.专项收入</t>
  </si>
  <si>
    <t xml:space="preserve">   其中：排污费收入</t>
  </si>
  <si>
    <t xml:space="preserve">         水资源费收入</t>
  </si>
  <si>
    <t xml:space="preserve">         教育费附加收入</t>
  </si>
  <si>
    <t>2.行政性收费收入</t>
  </si>
  <si>
    <t>3.罚没收入</t>
  </si>
  <si>
    <t>4.国有资源(资产)有偿使用收入</t>
  </si>
  <si>
    <t>预算科目</t>
  </si>
  <si>
    <t>2016年决算数</t>
  </si>
  <si>
    <t>一般公共预算支出合计</t>
  </si>
  <si>
    <t>（一）一般公共服务支出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</si>
  <si>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</si>
  <si>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</si>
  <si>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</si>
  <si>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</si>
  <si>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</si>
  <si>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</si>
  <si>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</si>
  <si>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</si>
  <si>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</si>
  <si>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</si>
  <si>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政府办公厅（室）及相关机构事务</t>
  </si>
  <si>
    <t xml:space="preserve">    信访事务</t>
  </si>
  <si>
    <t xml:space="preserve">    事业运行</t>
  </si>
  <si>
    <t xml:space="preserve">  发展与改革事务</t>
  </si>
  <si>
    <t xml:space="preserve">    战略规划与实施</t>
  </si>
  <si>
    <t xml:space="preserve">    社会事业发展规划</t>
  </si>
  <si>
    <t xml:space="preserve">    其他发展与改革事务支出</t>
  </si>
  <si>
    <t xml:space="preserve">  统计信息事务</t>
  </si>
  <si>
    <t xml:space="preserve">    专项普查活动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</si>
  <si>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</si>
  <si>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</si>
  <si>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</si>
  <si>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</si>
  <si>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</si>
  <si>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</si>
  <si>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</si>
  <si>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</si>
  <si>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其他审计事务支出</t>
  </si>
  <si>
    <t xml:space="preserve">  人力资源事务</t>
  </si>
  <si>
    <t xml:space="preserve">    公务员考核</t>
  </si>
  <si>
    <t xml:space="preserve">    其他人事事务支出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</si>
  <si>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</si>
  <si>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</si>
  <si>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</si>
  <si>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</si>
  <si>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</si>
  <si>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</si>
  <si>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</si>
  <si>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</si>
  <si>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其他工商行政管理事务支出</t>
  </si>
  <si>
    <t xml:space="preserve">  民族事务</t>
  </si>
  <si>
    <t xml:space="preserve">    民族工作专项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</si>
  <si>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</si>
  <si>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</si>
  <si>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</si>
  <si>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</si>
  <si>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其他群团事务支出</t>
  </si>
  <si>
    <t xml:space="preserve">  党委办公厅（室）及相关机构事务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</si>
  <si>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</si>
  <si>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</si>
  <si>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</si>
  <si>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</si>
  <si>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>（二）国防支出</t>
  </si>
  <si>
    <t xml:space="preserve">  国防动员</t>
  </si>
  <si>
    <t xml:space="preserve">    兵役征集</t>
  </si>
  <si>
    <t xml:space="preserve">    民兵</t>
  </si>
  <si>
    <t>（三）公共安全支出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</si>
  <si>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</si>
  <si>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</si>
  <si>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</si>
  <si>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</si>
  <si>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</si>
  <si>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</si>
  <si>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</si>
  <si>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网络侦查管理</t>
  </si>
  <si>
    <t xml:space="preserve">    反恐怖</t>
  </si>
  <si>
    <t xml:space="preserve">    居民身份证管理</t>
  </si>
  <si>
    <t xml:space="preserve">    拘押收教场所管理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</si>
  <si>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</si>
  <si>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</si>
  <si>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</si>
  <si>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</si>
  <si>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律师公证管理</t>
  </si>
  <si>
    <t xml:space="preserve">    法律援助</t>
  </si>
  <si>
    <t>（四）教育支出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</si>
  <si>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</si>
  <si>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</si>
  <si>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</si>
  <si>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</si>
  <si>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</si>
  <si>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</si>
  <si>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</si>
  <si>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</si>
  <si>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</si>
  <si>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</si>
  <si>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</si>
  <si>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</si>
  <si>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</si>
  <si>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</si>
  <si>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</si>
  <si>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</si>
  <si>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</si>
  <si>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</si>
  <si>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</t>
  </si>
  <si>
    <t xml:space="preserve">    其他教育支出</t>
  </si>
  <si>
    <t>（五）科学技术支出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</si>
  <si>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</si>
  <si>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</si>
  <si>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</si>
  <si>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</si>
  <si>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</si>
  <si>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</si>
  <si>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</si>
  <si>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</si>
  <si>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</si>
  <si>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 xml:space="preserve">  其他科学技术支出(款)</t>
  </si>
  <si>
    <t xml:space="preserve">   其他科学技术支出(项)</t>
  </si>
  <si>
    <t>（六）文化体育与传媒支出</t>
  </si>
  <si>
    <t xml:space="preserve">  文化</t>
  </si>
  <si>
    <t xml:space="preserve">    图书馆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</si>
  <si>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</si>
  <si>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</si>
  <si>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</si>
  <si>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</si>
  <si>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</si>
  <si>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</si>
  <si>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</si>
  <si>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</si>
  <si>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群众体育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</si>
  <si>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</si>
  <si>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</si>
  <si>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</si>
  <si>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</si>
  <si>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</si>
  <si>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</si>
  <si>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</si>
  <si>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（七）社会保障和就业支出</t>
  </si>
  <si>
    <t xml:space="preserve">  人力资源和社会保障管理事务</t>
  </si>
  <si>
    <t xml:space="preserve">    劳动保障监察</t>
  </si>
  <si>
    <t xml:space="preserve">    社会保险经办机构</t>
  </si>
  <si>
    <t xml:space="preserve">    公共就业服务和职业技能鉴定机构</t>
  </si>
  <si>
    <t xml:space="preserve">  民政管理事务</t>
  </si>
  <si>
    <t xml:space="preserve">    拥军优属</t>
  </si>
  <si>
    <t xml:space="preserve">    老龄事务</t>
  </si>
  <si>
    <t xml:space="preserve">    行政区划和社区建设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</si>
  <si>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</si>
  <si>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</si>
  <si>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</si>
  <si>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财政对城乡居民社会养老保险基金的补助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</si>
  <si>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</si>
  <si>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</si>
  <si>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</si>
  <si>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</si>
  <si>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</si>
  <si>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</si>
  <si>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</si>
  <si>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就业补助</t>
  </si>
  <si>
    <t xml:space="preserve">    公益性岗位补贴</t>
  </si>
  <si>
    <t xml:space="preserve">    小额担保贷款贴息</t>
  </si>
  <si>
    <t xml:space="preserve">  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</si>
  <si>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</si>
  <si>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</si>
  <si>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</si>
  <si>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</si>
  <si>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</si>
  <si>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</si>
  <si>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</si>
  <si>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</si>
  <si>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</si>
  <si>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</si>
  <si>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</si>
  <si>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</si>
  <si>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</si>
  <si>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</si>
  <si>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</si>
  <si>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其他残疾人事业支出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</si>
  <si>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自然灾害生活补助</t>
    </r>
  </si>
  <si>
    <t xml:space="preserve">    中央自然灾害生活补助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</si>
  <si>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自然灾害灾后重建补助</t>
    </r>
  </si>
  <si>
    <t xml:space="preserve">  红十字事业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</si>
  <si>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</si>
  <si>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</si>
  <si>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</si>
  <si>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</si>
  <si>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</si>
  <si>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流浪乞讨人员救助</t>
    </r>
  </si>
  <si>
    <t xml:space="preserve">  特困人员供养</t>
  </si>
  <si>
    <t xml:space="preserve">  其他生活救助</t>
  </si>
  <si>
    <t xml:space="preserve">    其他城市生活救助</t>
  </si>
  <si>
    <t xml:space="preserve">  其他社会保障和就业支出(款)</t>
  </si>
  <si>
    <t xml:space="preserve">    其他社会保障和就业支出(项)</t>
  </si>
  <si>
    <t>（八）医疗卫生与计划生育支出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</si>
  <si>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</si>
  <si>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</si>
  <si>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</si>
  <si>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</si>
  <si>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</si>
  <si>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</si>
  <si>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</si>
  <si>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</si>
  <si>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</si>
  <si>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</si>
  <si>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</si>
  <si>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</si>
  <si>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</si>
  <si>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</si>
  <si>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</si>
  <si>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</si>
  <si>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行政单位医疗</t>
  </si>
  <si>
    <t xml:space="preserve">    事业单位医疗</t>
  </si>
  <si>
    <t xml:space="preserve">    公务员医疗补助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</si>
  <si>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</si>
  <si>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</si>
  <si>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</si>
  <si>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</si>
  <si>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</si>
  <si>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</si>
  <si>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</si>
  <si>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</si>
  <si>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</si>
  <si>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>（九）节能环保支出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</si>
  <si>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</si>
  <si>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</si>
  <si>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</si>
  <si>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</si>
  <si>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</si>
  <si>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</si>
  <si>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</si>
  <si>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</si>
  <si>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</si>
  <si>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</si>
  <si>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</si>
  <si>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湖泊生态环境保护</t>
  </si>
  <si>
    <t xml:space="preserve">  天然林保护</t>
  </si>
  <si>
    <t xml:space="preserve">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</si>
  <si>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</si>
  <si>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</si>
  <si>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</si>
  <si>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</si>
  <si>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 xml:space="preserve">  循环经济(款)</t>
  </si>
  <si>
    <t xml:space="preserve">    循环经济(项)</t>
  </si>
  <si>
    <t xml:space="preserve">  江河湖库流域治理与保护</t>
  </si>
  <si>
    <t xml:space="preserve">    湖库生态环境保护</t>
  </si>
  <si>
    <t>（十）城乡社区支出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</si>
  <si>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</si>
  <si>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</si>
  <si>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</si>
  <si>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</si>
  <si>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</si>
  <si>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</si>
  <si>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</si>
  <si>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</si>
  <si>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</si>
  <si>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</si>
  <si>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</si>
  <si>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</si>
  <si>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其他城乡社区支出(款)</t>
  </si>
  <si>
    <t xml:space="preserve">    其他城乡社区支出(项)</t>
  </si>
  <si>
    <t>（十一）农林水支出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</si>
  <si>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</si>
  <si>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</si>
  <si>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</si>
  <si>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</si>
  <si>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</si>
  <si>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</si>
  <si>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</si>
  <si>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</si>
  <si>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稳定农民收入补贴</t>
  </si>
  <si>
    <t xml:space="preserve">   农业结构调整补贴</t>
  </si>
  <si>
    <t xml:space="preserve">    农业生产支持补助</t>
  </si>
  <si>
    <t xml:space="preserve">    农业生产资料与技术补贴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</si>
  <si>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</si>
  <si>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</si>
  <si>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</si>
  <si>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</si>
  <si>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</si>
  <si>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农资综合补贴</t>
    </r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</si>
  <si>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</si>
  <si>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</si>
  <si>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</si>
  <si>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</si>
  <si>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</si>
  <si>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森林资源管理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</si>
  <si>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森林生态效益补偿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</si>
  <si>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林业自然保护区</t>
    </r>
  </si>
  <si>
    <t xml:space="preserve">    动植物保护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</si>
  <si>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湿地保护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</si>
  <si>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林业执法与监督</t>
    </r>
  </si>
  <si>
    <t xml:space="preserve">    林业检疫检测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</si>
  <si>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林业工程与项目管理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</si>
  <si>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林业产业化</t>
    </r>
  </si>
  <si>
    <t xml:space="preserve">    林区公共支出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</si>
  <si>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林业贷款贴息</t>
    </r>
  </si>
  <si>
    <t xml:space="preserve">    森林保险保费补贴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</si>
  <si>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林业防火减灾</t>
    </r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</si>
  <si>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</si>
  <si>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</si>
  <si>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</si>
  <si>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</si>
  <si>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</si>
  <si>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</si>
  <si>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</si>
  <si>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</si>
  <si>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</si>
  <si>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</si>
  <si>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</si>
  <si>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</si>
  <si>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大中型水库移民后欺扶持专项支出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</si>
  <si>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</si>
  <si>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</si>
  <si>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</si>
  <si>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</si>
  <si>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农村基础设施建设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</si>
  <si>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生产发展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</si>
  <si>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其他扶贫支出</t>
    </r>
  </si>
  <si>
    <t xml:space="preserve">  农业综合开发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</si>
  <si>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土地治理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</si>
  <si>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产业化经营</t>
    </r>
  </si>
  <si>
    <t xml:space="preserve">  农村综合改革</t>
  </si>
  <si>
    <t xml:space="preserve">    对村级一事一议的补助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</si>
  <si>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国有农场办社会职能改革补助</t>
    </r>
  </si>
  <si>
    <t xml:space="preserve">    对村民委员会和村党支部的补助</t>
  </si>
  <si>
    <t xml:space="preserve">    对村集体经济组织的补助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</si>
  <si>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农村综合改革示范试点补助</t>
    </r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</si>
  <si>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</si>
  <si>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</si>
  <si>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</si>
  <si>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</si>
  <si>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</si>
  <si>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其他普惠金融发展支出</t>
  </si>
  <si>
    <t xml:space="preserve">    其他金融支农支持</t>
  </si>
  <si>
    <t xml:space="preserve">   目标价格补贴</t>
  </si>
  <si>
    <t xml:space="preserve">    大豆目标价格补贴</t>
  </si>
  <si>
    <t xml:space="preserve">  其他农林水支出</t>
  </si>
  <si>
    <t xml:space="preserve">    其他农林水支出</t>
  </si>
  <si>
    <t>（十二）交通运输支出</t>
  </si>
  <si>
    <t xml:space="preserve">  公路水路运输</t>
  </si>
  <si>
    <t xml:space="preserve">    公路养护</t>
  </si>
  <si>
    <t xml:space="preserve">    公路路政管理</t>
  </si>
  <si>
    <t xml:space="preserve">    公路改建</t>
  </si>
  <si>
    <t xml:space="preserve">    其他公路水路运输支出</t>
  </si>
  <si>
    <t xml:space="preserve">  车辆购置税支出</t>
  </si>
  <si>
    <t xml:space="preserve">    车辆购置税用于农村公路建设支出</t>
  </si>
  <si>
    <t xml:space="preserve">   其他交通运输支出（款）</t>
  </si>
  <si>
    <t xml:space="preserve">    其他交通运输支出（项）</t>
  </si>
  <si>
    <t>（十三）资源勘探信息等支出</t>
  </si>
  <si>
    <t xml:space="preserve">  制造业</t>
  </si>
  <si>
    <t xml:space="preserve">    其他制造业支出</t>
  </si>
  <si>
    <t xml:space="preserve">  工业和信息产业监管</t>
  </si>
  <si>
    <t xml:space="preserve">    其他工业和信息产业监管支出</t>
  </si>
  <si>
    <t xml:space="preserve">  安全生产监管</t>
  </si>
  <si>
    <t xml:space="preserve">    煤炭安全</t>
  </si>
  <si>
    <t xml:space="preserve">    其他安全生产监管支出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</si>
  <si>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</si>
  <si>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</si>
  <si>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</si>
  <si>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</si>
  <si>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</si>
  <si>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</si>
  <si>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</si>
  <si>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</si>
  <si>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</si>
  <si>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</si>
  <si>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</si>
  <si>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</si>
  <si>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</si>
  <si>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国土资源事务</t>
  </si>
  <si>
    <t xml:space="preserve">    国土资源规划及管理</t>
  </si>
  <si>
    <t xml:space="preserve">    土地资源储备支出</t>
  </si>
  <si>
    <t xml:space="preserve">    矿产资源专项收入安排的支出</t>
  </si>
  <si>
    <t xml:space="preserve">    地质灾害防治</t>
  </si>
  <si>
    <t xml:space="preserve">    其他国土资源事务支出</t>
  </si>
  <si>
    <t xml:space="preserve">  海洋管理事务</t>
  </si>
  <si>
    <t xml:space="preserve">    海域使用金支出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</si>
  <si>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</si>
  <si>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</si>
  <si>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</si>
  <si>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</si>
  <si>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（十六）住房保障支出</t>
  </si>
  <si>
    <t xml:space="preserve">  保障性安居工程支出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</si>
  <si>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棚户区改造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</si>
  <si>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农村危房改造</t>
    </r>
  </si>
  <si>
    <t xml:space="preserve">    其他保障性安居工程支出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</si>
  <si>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</si>
  <si>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</si>
  <si>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</si>
  <si>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</si>
  <si>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（十七）粮油物资储备支出</t>
  </si>
  <si>
    <t xml:space="preserve">  粮油事务</t>
  </si>
  <si>
    <t xml:space="preserve">    粮食专项业务活动</t>
  </si>
  <si>
    <t xml:space="preserve">    粮食财务挂账利息补贴</t>
  </si>
  <si>
    <t xml:space="preserve">    其他粮油事务支出</t>
  </si>
  <si>
    <t xml:space="preserve">  粮油储备</t>
  </si>
  <si>
    <t xml:space="preserve">    储备粮(油)库建设</t>
  </si>
  <si>
    <t>（十八）其他支出(类)</t>
  </si>
  <si>
    <t xml:space="preserve">  其他支出(款)</t>
  </si>
  <si>
    <t xml:space="preserve">    其他支出(项)</t>
  </si>
  <si>
    <t>（十九）债务付息支出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</si>
  <si>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</si>
  <si>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</si>
  <si>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</si>
  <si>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（二十）债务发行费用支出</t>
  </si>
  <si>
    <t xml:space="preserve">  地方政府债务发行费用支出</t>
  </si>
  <si>
    <t xml:space="preserve">    一般债务发行费用支出</t>
  </si>
  <si>
    <t>（一）工资福利支出</t>
  </si>
  <si>
    <t>基本工资</t>
  </si>
  <si>
    <t>津贴补贴</t>
  </si>
  <si>
    <t>奖金</t>
  </si>
  <si>
    <t>社会保障缴费</t>
  </si>
  <si>
    <t>其他工资福利支出</t>
  </si>
  <si>
    <t>（二）商品和服务支出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</si>
  <si>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</si>
  <si>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</si>
  <si>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</si>
  <si>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</si>
  <si>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</si>
  <si>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</si>
  <si>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</si>
  <si>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</si>
  <si>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</si>
  <si>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</si>
  <si>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</si>
  <si>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</si>
  <si>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</si>
  <si>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</si>
  <si>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</si>
  <si>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</si>
  <si>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</si>
  <si>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</si>
  <si>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</si>
  <si>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</si>
  <si>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</si>
  <si>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</si>
  <si>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</si>
  <si>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</si>
  <si>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</si>
  <si>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（三）对个人和家庭补助支出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</si>
  <si>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</si>
  <si>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</si>
  <si>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</si>
  <si>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</si>
  <si>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</si>
  <si>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</si>
  <si>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</si>
  <si>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奖励金</t>
  </si>
  <si>
    <t>住房公积金</t>
  </si>
  <si>
    <t>其他对个人和家庭补助支出</t>
  </si>
  <si>
    <t>（四）其他资本性支出</t>
  </si>
  <si>
    <t>办公设备购置</t>
  </si>
  <si>
    <t>专用设备购置</t>
  </si>
  <si>
    <t>其他资本性支出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</si>
  <si>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</si>
  <si>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数额</t>
  </si>
  <si>
    <r>
      <t xml:space="preserve"> </t>
    </r>
    <r>
      <rPr>
        <b/>
        <sz val="10"/>
        <rFont val="宋体"/>
        <family val="0"/>
      </rPr>
      <t>一、一般公共预算收入合计</t>
    </r>
  </si>
  <si>
    <r>
      <t xml:space="preserve"> </t>
    </r>
    <r>
      <rPr>
        <b/>
        <sz val="10"/>
        <rFont val="宋体"/>
        <family val="0"/>
      </rPr>
      <t>一、一般公共预算支出合计</t>
    </r>
  </si>
  <si>
    <t>二、 转移性收入</t>
  </si>
  <si>
    <t>二、上解支出合计</t>
  </si>
  <si>
    <t>1、返还性收入</t>
  </si>
  <si>
    <t>1、体制上解</t>
  </si>
  <si>
    <t>2、一般性转移支付收入</t>
  </si>
  <si>
    <t>2、专项上解</t>
  </si>
  <si>
    <t>3、专项转移支付收入</t>
  </si>
  <si>
    <t>三、债务还本支出</t>
  </si>
  <si>
    <t>四、安排预算稳定调节基金</t>
  </si>
  <si>
    <t>五、年终结余</t>
  </si>
  <si>
    <t xml:space="preserve">   结转下年的支出</t>
  </si>
  <si>
    <t>收入总计</t>
  </si>
  <si>
    <t>支出总计</t>
  </si>
  <si>
    <t>新宾县“三公”经费决算汇总表</t>
  </si>
  <si>
    <t>项目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</si>
  <si>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</si>
  <si>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</si>
  <si>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</si>
  <si>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</si>
  <si>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</si>
  <si>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</si>
  <si>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</si>
  <si>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备注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</si>
  <si>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</si>
  <si>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</si>
  <si>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</si>
  <si>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</si>
  <si>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</si>
  <si>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</si>
  <si>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</si>
  <si>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</si>
  <si>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</si>
  <si>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</si>
  <si>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企业事业单位划转补助收入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</si>
  <si>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</si>
  <si>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</si>
  <si>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</si>
  <si>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</si>
  <si>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</si>
  <si>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</si>
  <si>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</si>
  <si>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</si>
  <si>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</si>
  <si>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</si>
  <si>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</si>
  <si>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</si>
  <si>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</si>
  <si>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</si>
  <si>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</si>
  <si>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</si>
  <si>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</si>
  <si>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</si>
  <si>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</si>
  <si>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</si>
  <si>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</si>
  <si>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</si>
  <si>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</si>
  <si>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</si>
  <si>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</si>
  <si>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</si>
  <si>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r>
      <t>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年决算</t>
    </r>
  </si>
  <si>
    <t>单位：万元</t>
  </si>
  <si>
    <t>年度</t>
  </si>
  <si>
    <t>债务类型</t>
  </si>
  <si>
    <t>政府债务限额</t>
  </si>
  <si>
    <t>年末余额</t>
  </si>
  <si>
    <t>一般债务</t>
  </si>
  <si>
    <t>合  计</t>
  </si>
  <si>
    <t>1.2017年新宾县一般公共预算收入决算表</t>
  </si>
  <si>
    <t>2.2017年新宾县一般公共预算支出决算表</t>
  </si>
  <si>
    <t>3.2017年新宾县一般公共预算基本支出按经济分类决算表</t>
  </si>
  <si>
    <r>
      <t>4.201</t>
    </r>
    <r>
      <rPr>
        <sz val="14"/>
        <rFont val="宋体"/>
        <family val="0"/>
      </rPr>
      <t>7年新宾县一般公共预算收支平衡决算表</t>
    </r>
  </si>
  <si>
    <r>
      <t>5.201</t>
    </r>
    <r>
      <rPr>
        <sz val="14"/>
        <rFont val="宋体"/>
        <family val="0"/>
      </rPr>
      <t>7</t>
    </r>
    <r>
      <rPr>
        <sz val="14"/>
        <rFont val="宋体"/>
        <family val="0"/>
      </rPr>
      <t>年新宾县一般公共预算转移支付决算表</t>
    </r>
  </si>
  <si>
    <t>6.2017年新宾县政府一般债务限额及余额明细表</t>
  </si>
  <si>
    <t>7.2017年新宾县“三公”经费决算汇总表</t>
  </si>
  <si>
    <t>2017年新宾县一般公共预算收入决算表</t>
  </si>
  <si>
    <t>2017年决算数</t>
  </si>
  <si>
    <t>2017年新宾县一般公共预算支出决算表</t>
  </si>
  <si>
    <t>2017年新宾县一般公共预算基本支出按经济分类决算表</t>
  </si>
  <si>
    <t>2017年新宾县一般公共预算收支平衡决算表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</si>
  <si>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年度新宾县一般公共预算转移支付补助决算表</t>
    </r>
  </si>
  <si>
    <r>
      <t>201</t>
    </r>
    <r>
      <rPr>
        <b/>
        <sz val="10"/>
        <rFont val="宋体"/>
        <family val="0"/>
      </rPr>
      <t>7年决算</t>
    </r>
  </si>
  <si>
    <t>2017年政府一般债务限额和余额情况表</t>
  </si>
  <si>
    <t>1.增值税（50%部分）</t>
  </si>
  <si>
    <t xml:space="preserve">   其中：国税征收</t>
  </si>
  <si>
    <t xml:space="preserve">        地税征收</t>
  </si>
  <si>
    <r>
      <t xml:space="preserve">           </t>
    </r>
    <r>
      <rPr>
        <sz val="10"/>
        <rFont val="宋体"/>
        <family val="0"/>
      </rPr>
      <t>地方教育附加收入</t>
    </r>
  </si>
  <si>
    <t xml:space="preserve">         其他专项收入</t>
  </si>
  <si>
    <t>2016年收入决算数</t>
  </si>
  <si>
    <t>2017年收入预算数</t>
  </si>
  <si>
    <t>2017年收入决算数</t>
  </si>
  <si>
    <t>2017年预算数</t>
  </si>
  <si>
    <r>
      <t>2</t>
    </r>
    <r>
      <rPr>
        <b/>
        <sz val="10"/>
        <rFont val="宋体"/>
        <family val="0"/>
      </rPr>
      <t>017年预算</t>
    </r>
  </si>
  <si>
    <t>2016年</t>
  </si>
  <si>
    <r>
      <t>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</t>
    </r>
  </si>
  <si>
    <r>
      <t>201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年比201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</t>
    </r>
  </si>
  <si>
    <t>2017年决算比2016年决算增减%</t>
  </si>
  <si>
    <r>
      <t>2017年决算数比2016年决算数增减</t>
    </r>
    <r>
      <rPr>
        <b/>
        <sz val="10"/>
        <rFont val="宋体"/>
        <family val="0"/>
      </rPr>
      <t>%</t>
    </r>
  </si>
  <si>
    <t>2017年决算比2016年决算增减%</t>
  </si>
  <si>
    <t>4、上年结余收入</t>
  </si>
  <si>
    <t>5、调入资金</t>
  </si>
  <si>
    <t xml:space="preserve">    城乡义务教育等转移支付收入</t>
  </si>
  <si>
    <t xml:space="preserve">    基本养老保险转移支付收入</t>
  </si>
  <si>
    <t xml:space="preserve">    革命老区转移支付收入</t>
  </si>
  <si>
    <t xml:space="preserve">    贫困地区转移支付收入</t>
  </si>
  <si>
    <t xml:space="preserve">  质量技术监督与检验检疫事务</t>
  </si>
  <si>
    <t xml:space="preserve">    一般行政管理事务</t>
  </si>
  <si>
    <t xml:space="preserve">    事业运行</t>
  </si>
  <si>
    <t xml:space="preserve">    机关事业单位基本养老保险缴费支出</t>
  </si>
  <si>
    <t xml:space="preserve">    对机关事业单位基本养老保险基金的补助</t>
  </si>
  <si>
    <t xml:space="preserve">    军队移交政府的离退休人员安置</t>
  </si>
  <si>
    <t xml:space="preserve">    残疾人生活和护理补贴</t>
  </si>
  <si>
    <t xml:space="preserve">    农村特困人员救助供养支出</t>
  </si>
  <si>
    <t xml:space="preserve">     其他农村生活救助</t>
  </si>
  <si>
    <t xml:space="preserve">  财政对基本养老保险基金的补助</t>
  </si>
  <si>
    <t xml:space="preserve">     财政对城乡居民基本养老保险基金的补助</t>
  </si>
  <si>
    <t xml:space="preserve">  行政事业单位医疗</t>
  </si>
  <si>
    <t xml:space="preserve">  财政对基本医疗保险基金的补助</t>
  </si>
  <si>
    <t xml:space="preserve">  医疗救助</t>
  </si>
  <si>
    <t xml:space="preserve">  医疗卫生与计划生育管理事务</t>
  </si>
  <si>
    <t xml:space="preserve">    优抚对象医疗补助</t>
  </si>
  <si>
    <t xml:space="preserve">  优抚对象医疗</t>
  </si>
  <si>
    <t xml:space="preserve">  其他医疗卫生与计划生育支出(款)</t>
  </si>
  <si>
    <t xml:space="preserve">    其他医疗卫生与计划生育支出(项)</t>
  </si>
  <si>
    <t xml:space="preserve">    大气</t>
  </si>
  <si>
    <t xml:space="preserve">    退耕还林工程建设</t>
  </si>
  <si>
    <t xml:space="preserve">    森林资源监测</t>
  </si>
  <si>
    <t xml:space="preserve">    创业担保贷款贴息</t>
  </si>
  <si>
    <t xml:space="preserve">    公路建设</t>
  </si>
  <si>
    <t xml:space="preserve">    其他旅游业管理与服务支出</t>
  </si>
  <si>
    <t xml:space="preserve">    地质矿产资源利用与保护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</si>
  <si>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其他农业综合开发支出</t>
    </r>
  </si>
  <si>
    <t>机关事业单位基本养老保险缴费</t>
  </si>
  <si>
    <t>委托业务费</t>
  </si>
  <si>
    <t>采暖补贴</t>
  </si>
  <si>
    <t xml:space="preserve">    成品油价格和税费改革转移支付补助收入</t>
  </si>
  <si>
    <t xml:space="preserve">    城乡居民医疗保险转移支付补助收入</t>
  </si>
  <si>
    <t xml:space="preserve">    民族地区转移支付收入</t>
  </si>
  <si>
    <t xml:space="preserve">    其他一般性转移支付收入</t>
  </si>
  <si>
    <t>（十四）商业服务业等支出</t>
  </si>
  <si>
    <t>（十五）国土海洋气象等支出</t>
  </si>
  <si>
    <t>2017年决算完成预算%</t>
  </si>
  <si>
    <t>2017年决算完成预算%</t>
  </si>
  <si>
    <t>2017年决算完成预算%</t>
  </si>
  <si>
    <t xml:space="preserve">         育林基金收入</t>
  </si>
  <si>
    <t xml:space="preserve">         森林植被恢复费</t>
  </si>
  <si>
    <t xml:space="preserve">         水利建设专项收入</t>
  </si>
  <si>
    <r>
      <t>8</t>
    </r>
    <r>
      <rPr>
        <sz val="14"/>
        <rFont val="宋体"/>
        <family val="0"/>
      </rPr>
      <t>.201</t>
    </r>
    <r>
      <rPr>
        <sz val="14"/>
        <rFont val="宋体"/>
        <family val="0"/>
      </rPr>
      <t>7</t>
    </r>
    <r>
      <rPr>
        <sz val="14"/>
        <rFont val="宋体"/>
        <family val="0"/>
      </rPr>
      <t>年新宾县一般公共预算有关情况说明</t>
    </r>
  </si>
  <si>
    <t>9.2017年新宾县“三公”经费决算汇总情况说明</t>
  </si>
  <si>
    <t>12.2017年新宾县政府债务情况说明</t>
  </si>
  <si>
    <t xml:space="preserve">         2017年新宾县政府一般公共预算决算公开目录</t>
  </si>
  <si>
    <t>11.2017年新宾县决算报告及附表</t>
  </si>
  <si>
    <t>10.2017年新宾县决算转移支付情况说明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</si>
</sst>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 "/>
    <numFmt numFmtId="179" formatCode="0_);[Red]\(0\)"/>
    <numFmt numFmtId="180" formatCode="0.0_ "/>
    <numFmt numFmtId="181" formatCode="#,##0_);[Red]\(#,##0\)"/>
    <numFmt numFmtId="182" formatCode="_ * #,##0_ ;_ * \-#,##0_ ;_ * &quot;-&quot;??_ ;_ @_ "/>
    <numFmt numFmtId="183" formatCode="#,##0.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#,##0_ "/>
    <numFmt numFmtId="190" formatCode="#,##0_ ;[Red]\-#,##0\ "/>
    <numFmt numFmtId="191" formatCode="#,##0.0_ "/>
    <numFmt numFmtId="192" formatCode="0.00_);[Red]\(0.00\)"/>
  </numFmts>
  <fonts count="53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0"/>
      <name val="Times New Roman"/>
      <family val="1"/>
    </font>
    <font>
      <b/>
      <sz val="10"/>
      <name val="Geneva"/>
      <family val="2"/>
    </font>
    <font>
      <sz val="10"/>
      <color indexed="10"/>
      <name val="Geneva"/>
      <family val="2"/>
    </font>
    <font>
      <b/>
      <sz val="22"/>
      <name val="宋体"/>
      <family val="0"/>
    </font>
    <font>
      <sz val="9"/>
      <color indexed="10"/>
      <name val="宋体"/>
      <family val="0"/>
    </font>
    <font>
      <sz val="16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22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24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37" fontId="32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37" fontId="32" fillId="0" borderId="0">
      <alignment/>
      <protection/>
    </xf>
    <xf numFmtId="0" fontId="38" fillId="0" borderId="0" applyNumberFormat="0" applyFill="0" applyBorder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7" fillId="17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6" fillId="0" borderId="0">
      <alignment/>
      <protection/>
    </xf>
    <xf numFmtId="41" fontId="4" fillId="0" borderId="0" applyFont="0" applyFill="0" applyBorder="0" applyAlignment="0" applyProtection="0"/>
    <xf numFmtId="4" fontId="36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>
      <alignment/>
      <protection/>
    </xf>
    <xf numFmtId="43" fontId="4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</cellStyleXfs>
  <cellXfs count="220">
    <xf numFmtId="0" fontId="0" fillId="0" borderId="0" xfId="0" applyFont="1" applyAlignment="1">
      <alignment/>
    </xf>
    <xf numFmtId="0" fontId="2" fillId="0" borderId="0" xfId="316" applyFont="1" applyAlignment="1">
      <alignment horizontal="center"/>
      <protection/>
    </xf>
    <xf numFmtId="0" fontId="3" fillId="0" borderId="0" xfId="316" applyFont="1">
      <alignment vertical="center"/>
      <protection/>
    </xf>
    <xf numFmtId="0" fontId="4" fillId="0" borderId="0" xfId="316">
      <alignment vertical="center"/>
      <protection/>
    </xf>
    <xf numFmtId="0" fontId="5" fillId="0" borderId="0" xfId="0" applyFont="1" applyAlignment="1">
      <alignment/>
    </xf>
    <xf numFmtId="0" fontId="7" fillId="0" borderId="0" xfId="316" applyFont="1">
      <alignment vertical="center"/>
      <protection/>
    </xf>
    <xf numFmtId="0" fontId="7" fillId="0" borderId="0" xfId="316" applyFont="1" applyAlignment="1">
      <alignment horizontal="right"/>
      <protection/>
    </xf>
    <xf numFmtId="0" fontId="8" fillId="0" borderId="10" xfId="316" applyFont="1" applyBorder="1" applyAlignment="1">
      <alignment vertical="center"/>
      <protection/>
    </xf>
    <xf numFmtId="3" fontId="8" fillId="0" borderId="11" xfId="316" applyNumberFormat="1" applyFont="1" applyBorder="1" applyAlignment="1">
      <alignment vertical="center"/>
      <protection/>
    </xf>
    <xf numFmtId="176" fontId="8" fillId="0" borderId="12" xfId="316" applyNumberFormat="1" applyFont="1" applyBorder="1">
      <alignment vertical="center"/>
      <protection/>
    </xf>
    <xf numFmtId="0" fontId="5" fillId="0" borderId="10" xfId="316" applyFont="1" applyBorder="1" applyAlignment="1">
      <alignment vertical="center" wrapText="1"/>
      <protection/>
    </xf>
    <xf numFmtId="4" fontId="5" fillId="0" borderId="11" xfId="316" applyNumberFormat="1" applyFont="1" applyFill="1" applyBorder="1" applyAlignment="1" applyProtection="1">
      <alignment horizontal="right" vertical="center"/>
      <protection/>
    </xf>
    <xf numFmtId="0" fontId="5" fillId="0" borderId="11" xfId="316" applyFont="1" applyBorder="1">
      <alignment vertical="center"/>
      <protection/>
    </xf>
    <xf numFmtId="3" fontId="5" fillId="0" borderId="11" xfId="316" applyNumberFormat="1" applyFont="1" applyBorder="1">
      <alignment vertical="center"/>
      <protection/>
    </xf>
    <xf numFmtId="0" fontId="5" fillId="0" borderId="10" xfId="316" applyFont="1" applyBorder="1" applyAlignment="1">
      <alignment vertical="center"/>
      <protection/>
    </xf>
    <xf numFmtId="176" fontId="5" fillId="0" borderId="12" xfId="316" applyNumberFormat="1" applyFont="1" applyBorder="1">
      <alignment vertical="center"/>
      <protection/>
    </xf>
    <xf numFmtId="3" fontId="5" fillId="0" borderId="11" xfId="316" applyNumberFormat="1" applyFont="1" applyBorder="1" applyAlignment="1">
      <alignment vertical="center"/>
      <protection/>
    </xf>
    <xf numFmtId="0" fontId="5" fillId="0" borderId="13" xfId="316" applyFont="1" applyBorder="1" applyAlignment="1">
      <alignment vertical="center"/>
      <protection/>
    </xf>
    <xf numFmtId="0" fontId="5" fillId="0" borderId="14" xfId="316" applyFont="1" applyBorder="1">
      <alignment vertical="center"/>
      <protection/>
    </xf>
    <xf numFmtId="3" fontId="5" fillId="0" borderId="14" xfId="316" applyNumberFormat="1" applyFont="1" applyBorder="1">
      <alignment vertical="center"/>
      <protection/>
    </xf>
    <xf numFmtId="176" fontId="5" fillId="0" borderId="15" xfId="316" applyNumberFormat="1" applyFont="1" applyBorder="1">
      <alignment vertical="center"/>
      <protection/>
    </xf>
    <xf numFmtId="0" fontId="2" fillId="0" borderId="0" xfId="316" applyFont="1">
      <alignment vertical="center"/>
      <protection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4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7" fillId="24" borderId="13" xfId="0" applyNumberFormat="1" applyFont="1" applyFill="1" applyBorder="1" applyAlignment="1" applyProtection="1">
      <alignment horizontal="left" vertical="center"/>
      <protection/>
    </xf>
    <xf numFmtId="3" fontId="13" fillId="0" borderId="0" xfId="318" applyNumberFormat="1" applyFont="1" applyProtection="1">
      <alignment/>
      <protection locked="0"/>
    </xf>
    <xf numFmtId="3" fontId="7" fillId="0" borderId="0" xfId="318" applyNumberFormat="1" applyFont="1" applyAlignment="1" applyProtection="1">
      <alignment vertical="top"/>
      <protection locked="0"/>
    </xf>
    <xf numFmtId="3" fontId="5" fillId="0" borderId="0" xfId="318" applyNumberFormat="1" applyFont="1" applyProtection="1">
      <alignment/>
      <protection locked="0"/>
    </xf>
    <xf numFmtId="0" fontId="4" fillId="0" borderId="0" xfId="318" applyFont="1" applyProtection="1">
      <alignment/>
      <protection locked="0"/>
    </xf>
    <xf numFmtId="3" fontId="7" fillId="0" borderId="0" xfId="318" applyNumberFormat="1" applyFont="1" applyAlignment="1" applyProtection="1">
      <alignment/>
      <protection locked="0"/>
    </xf>
    <xf numFmtId="3" fontId="7" fillId="0" borderId="0" xfId="318" applyNumberFormat="1" applyFont="1" applyAlignment="1" applyProtection="1">
      <alignment horizontal="right"/>
      <protection locked="0"/>
    </xf>
    <xf numFmtId="3" fontId="15" fillId="0" borderId="10" xfId="318" applyNumberFormat="1" applyFont="1" applyBorder="1" applyAlignment="1" applyProtection="1">
      <alignment horizontal="left" vertical="center"/>
      <protection locked="0"/>
    </xf>
    <xf numFmtId="3" fontId="2" fillId="0" borderId="10" xfId="318" applyNumberFormat="1" applyFont="1" applyBorder="1" applyAlignment="1" applyProtection="1">
      <alignment horizontal="left" vertical="center"/>
      <protection locked="0"/>
    </xf>
    <xf numFmtId="3" fontId="7" fillId="0" borderId="10" xfId="318" applyNumberFormat="1" applyFont="1" applyBorder="1" applyAlignment="1" applyProtection="1">
      <alignment vertical="center"/>
      <protection locked="0"/>
    </xf>
    <xf numFmtId="0" fontId="7" fillId="0" borderId="10" xfId="318" applyFont="1" applyFill="1" applyBorder="1" applyAlignment="1">
      <alignment vertical="center"/>
      <protection/>
    </xf>
    <xf numFmtId="3" fontId="2" fillId="24" borderId="11" xfId="0" applyNumberFormat="1" applyFont="1" applyFill="1" applyBorder="1" applyAlignment="1" applyProtection="1">
      <alignment horizontal="left" vertical="center"/>
      <protection/>
    </xf>
    <xf numFmtId="3" fontId="7" fillId="0" borderId="16" xfId="318" applyNumberFormat="1" applyFont="1" applyBorder="1" applyAlignment="1" applyProtection="1">
      <alignment horizontal="left" vertical="center"/>
      <protection locked="0"/>
    </xf>
    <xf numFmtId="3" fontId="2" fillId="24" borderId="13" xfId="318" applyNumberFormat="1" applyFont="1" applyFill="1" applyBorder="1" applyAlignment="1" applyProtection="1">
      <alignment horizontal="center" vertical="center"/>
      <protection locked="0"/>
    </xf>
    <xf numFmtId="3" fontId="4" fillId="0" borderId="0" xfId="318" applyNumberFormat="1" applyFont="1" applyProtection="1">
      <alignment/>
      <protection locked="0"/>
    </xf>
    <xf numFmtId="0" fontId="4" fillId="0" borderId="0" xfId="317" applyAlignment="1" applyProtection="1">
      <alignment vertical="center"/>
      <protection locked="0"/>
    </xf>
    <xf numFmtId="0" fontId="7" fillId="0" borderId="0" xfId="317" applyFont="1" applyAlignment="1" applyProtection="1">
      <alignment horizontal="right" vertic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3" fontId="9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9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left" vertical="center"/>
    </xf>
    <xf numFmtId="178" fontId="0" fillId="24" borderId="11" xfId="0" applyNumberFormat="1" applyFont="1" applyFill="1" applyBorder="1" applyAlignment="1" applyProtection="1">
      <alignment horizontal="right" vertical="center" wrapText="1"/>
      <protection/>
    </xf>
    <xf numFmtId="0" fontId="7" fillId="24" borderId="10" xfId="0" applyNumberFormat="1" applyFont="1" applyFill="1" applyBorder="1" applyAlignment="1" applyProtection="1">
      <alignment vertical="center"/>
      <protection/>
    </xf>
    <xf numFmtId="178" fontId="0" fillId="24" borderId="11" xfId="0" applyNumberFormat="1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4" fillId="0" borderId="0" xfId="319" applyFont="1" applyAlignment="1" applyProtection="1">
      <alignment vertical="center" shrinkToFit="1"/>
      <protection locked="0"/>
    </xf>
    <xf numFmtId="181" fontId="4" fillId="0" borderId="0" xfId="319" applyNumberFormat="1" applyFont="1" applyAlignment="1" applyProtection="1">
      <alignment vertical="center"/>
      <protection locked="0"/>
    </xf>
    <xf numFmtId="0" fontId="4" fillId="0" borderId="0" xfId="319" applyFont="1" applyAlignment="1" applyProtection="1">
      <alignment vertical="center"/>
      <protection locked="0"/>
    </xf>
    <xf numFmtId="0" fontId="7" fillId="0" borderId="0" xfId="319" applyFont="1" applyAlignment="1" applyProtection="1">
      <alignment vertical="center" shrinkToFit="1"/>
      <protection locked="0"/>
    </xf>
    <xf numFmtId="182" fontId="7" fillId="0" borderId="0" xfId="534" applyNumberFormat="1" applyFont="1" applyBorder="1" applyAlignment="1" applyProtection="1">
      <alignment horizontal="right" vertical="center"/>
      <protection locked="0"/>
    </xf>
    <xf numFmtId="0" fontId="21" fillId="0" borderId="11" xfId="315" applyFont="1" applyBorder="1">
      <alignment vertical="center"/>
      <protection/>
    </xf>
    <xf numFmtId="0" fontId="22" fillId="0" borderId="11" xfId="315" applyFont="1" applyBorder="1">
      <alignment vertical="center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4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7" fillId="24" borderId="11" xfId="282" applyNumberFormat="1" applyFont="1" applyFill="1" applyBorder="1" applyAlignment="1" applyProtection="1">
      <alignment horizontal="right" vertical="center"/>
      <protection/>
    </xf>
    <xf numFmtId="3" fontId="7" fillId="25" borderId="11" xfId="282" applyNumberFormat="1" applyFont="1" applyFill="1" applyBorder="1" applyAlignment="1" applyProtection="1">
      <alignment horizontal="right" vertical="center"/>
      <protection/>
    </xf>
    <xf numFmtId="3" fontId="7" fillId="25" borderId="17" xfId="282" applyNumberFormat="1" applyFont="1" applyFill="1" applyBorder="1" applyAlignment="1" applyProtection="1">
      <alignment horizontal="right" vertical="center"/>
      <protection/>
    </xf>
    <xf numFmtId="3" fontId="7" fillId="25" borderId="18" xfId="282" applyNumberFormat="1" applyFont="1" applyFill="1" applyBorder="1" applyAlignment="1" applyProtection="1">
      <alignment horizontal="right" vertical="center"/>
      <protection/>
    </xf>
    <xf numFmtId="0" fontId="0" fillId="0" borderId="0" xfId="282" applyFont="1">
      <alignment/>
      <protection/>
    </xf>
    <xf numFmtId="180" fontId="7" fillId="0" borderId="11" xfId="282" applyNumberFormat="1" applyFont="1" applyBorder="1">
      <alignment/>
      <protection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182" fontId="2" fillId="24" borderId="22" xfId="534" applyNumberFormat="1" applyFont="1" applyFill="1" applyBorder="1" applyAlignment="1" applyProtection="1">
      <alignment vertical="center" shrinkToFit="1"/>
      <protection locked="0"/>
    </xf>
    <xf numFmtId="182" fontId="7" fillId="24" borderId="22" xfId="534" applyNumberFormat="1" applyFont="1" applyFill="1" applyBorder="1" applyAlignment="1" applyProtection="1">
      <alignment vertical="center" shrinkToFit="1"/>
      <protection locked="0"/>
    </xf>
    <xf numFmtId="0" fontId="7" fillId="0" borderId="22" xfId="319" applyFont="1" applyBorder="1" applyAlignment="1" applyProtection="1">
      <alignment vertical="center"/>
      <protection locked="0"/>
    </xf>
    <xf numFmtId="182" fontId="7" fillId="24" borderId="22" xfId="534" applyNumberFormat="1" applyFont="1" applyFill="1" applyBorder="1" applyAlignment="1" applyProtection="1">
      <alignment vertical="center" shrinkToFit="1"/>
      <protection locked="0"/>
    </xf>
    <xf numFmtId="182" fontId="52" fillId="24" borderId="23" xfId="0" applyNumberFormat="1" applyFont="1" applyFill="1" applyBorder="1" applyAlignment="1" applyProtection="1">
      <alignment vertical="center" wrapText="1" shrinkToFit="1"/>
      <protection locked="0"/>
    </xf>
    <xf numFmtId="181" fontId="7" fillId="0" borderId="0" xfId="534" applyNumberFormat="1" applyFont="1" applyBorder="1" applyAlignment="1" applyProtection="1">
      <alignment vertical="center"/>
      <protection locked="0"/>
    </xf>
    <xf numFmtId="181" fontId="7" fillId="0" borderId="0" xfId="534" applyNumberFormat="1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vertical="center" wrapText="1"/>
    </xf>
    <xf numFmtId="180" fontId="22" fillId="24" borderId="11" xfId="319" applyNumberFormat="1" applyFont="1" applyFill="1" applyBorder="1" applyAlignment="1" applyProtection="1">
      <alignment horizontal="right" vertical="center"/>
      <protection/>
    </xf>
    <xf numFmtId="182" fontId="7" fillId="24" borderId="24" xfId="534" applyNumberFormat="1" applyFont="1" applyFill="1" applyBorder="1" applyAlignment="1" applyProtection="1">
      <alignment vertical="center" wrapText="1" shrinkToFit="1"/>
      <protection locked="0"/>
    </xf>
    <xf numFmtId="0" fontId="22" fillId="0" borderId="14" xfId="315" applyFont="1" applyBorder="1">
      <alignment vertical="center"/>
      <protection/>
    </xf>
    <xf numFmtId="180" fontId="22" fillId="24" borderId="14" xfId="319" applyNumberFormat="1" applyFont="1" applyFill="1" applyBorder="1" applyAlignment="1" applyProtection="1">
      <alignment horizontal="right" vertical="center"/>
      <protection/>
    </xf>
    <xf numFmtId="180" fontId="7" fillId="0" borderId="12" xfId="319" applyNumberFormat="1" applyFont="1" applyBorder="1" applyAlignment="1" applyProtection="1">
      <alignment vertical="center"/>
      <protection locked="0"/>
    </xf>
    <xf numFmtId="180" fontId="7" fillId="0" borderId="15" xfId="319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178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horizontal="left" vertical="center"/>
    </xf>
    <xf numFmtId="0" fontId="7" fillId="16" borderId="10" xfId="0" applyNumberFormat="1" applyFont="1" applyFill="1" applyBorder="1" applyAlignment="1" applyProtection="1">
      <alignment horizontal="left" vertical="center"/>
      <protection/>
    </xf>
    <xf numFmtId="180" fontId="7" fillId="0" borderId="11" xfId="282" applyNumberFormat="1" applyFont="1" applyBorder="1" applyAlignment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9" xfId="317" applyFont="1" applyBorder="1" applyAlignment="1" applyProtection="1">
      <alignment horizontal="center" vertical="center" wrapText="1"/>
      <protection/>
    </xf>
    <xf numFmtId="0" fontId="2" fillId="0" borderId="21" xfId="317" applyFont="1" applyBorder="1" applyAlignment="1" applyProtection="1">
      <alignment horizontal="center" vertical="center" wrapText="1"/>
      <protection/>
    </xf>
    <xf numFmtId="0" fontId="2" fillId="0" borderId="10" xfId="317" applyFont="1" applyBorder="1" applyAlignment="1" applyProtection="1">
      <alignment horizontal="center" vertical="center" wrapText="1"/>
      <protection/>
    </xf>
    <xf numFmtId="178" fontId="7" fillId="24" borderId="12" xfId="317" applyNumberFormat="1" applyFont="1" applyFill="1" applyBorder="1" applyAlignment="1" applyProtection="1">
      <alignment horizontal="right" vertical="center" shrinkToFit="1"/>
      <protection/>
    </xf>
    <xf numFmtId="0" fontId="2" fillId="0" borderId="10" xfId="317" applyFont="1" applyBorder="1" applyAlignment="1" applyProtection="1">
      <alignment vertical="center"/>
      <protection/>
    </xf>
    <xf numFmtId="0" fontId="7" fillId="0" borderId="10" xfId="317" applyFont="1" applyBorder="1" applyAlignment="1" applyProtection="1">
      <alignment horizontal="left" vertical="center"/>
      <protection/>
    </xf>
    <xf numFmtId="0" fontId="7" fillId="0" borderId="10" xfId="317" applyFont="1" applyBorder="1" applyAlignment="1" applyProtection="1">
      <alignment vertical="center"/>
      <protection/>
    </xf>
    <xf numFmtId="0" fontId="7" fillId="0" borderId="10" xfId="317" applyFont="1" applyBorder="1" applyAlignment="1" applyProtection="1">
      <alignment vertical="center" wrapText="1"/>
      <protection/>
    </xf>
    <xf numFmtId="0" fontId="7" fillId="0" borderId="10" xfId="317" applyFont="1" applyBorder="1" applyAlignment="1" applyProtection="1">
      <alignment horizontal="left" vertical="center" wrapText="1"/>
      <protection/>
    </xf>
    <xf numFmtId="0" fontId="7" fillId="0" borderId="10" xfId="317" applyFont="1" applyBorder="1" applyAlignment="1" applyProtection="1">
      <alignment vertical="center"/>
      <protection locked="0"/>
    </xf>
    <xf numFmtId="0" fontId="7" fillId="0" borderId="25" xfId="317" applyFont="1" applyBorder="1" applyAlignment="1" applyProtection="1">
      <alignment vertical="center"/>
      <protection locked="0"/>
    </xf>
    <xf numFmtId="0" fontId="2" fillId="0" borderId="10" xfId="317" applyFont="1" applyBorder="1" applyAlignment="1" applyProtection="1">
      <alignment vertical="center"/>
      <protection locked="0"/>
    </xf>
    <xf numFmtId="0" fontId="7" fillId="0" borderId="12" xfId="317" applyFont="1" applyBorder="1" applyAlignment="1" applyProtection="1">
      <alignment vertical="center"/>
      <protection locked="0"/>
    </xf>
    <xf numFmtId="0" fontId="4" fillId="0" borderId="10" xfId="317" applyBorder="1" applyAlignment="1" applyProtection="1">
      <alignment vertical="center"/>
      <protection locked="0"/>
    </xf>
    <xf numFmtId="0" fontId="4" fillId="0" borderId="12" xfId="317" applyBorder="1" applyAlignment="1" applyProtection="1">
      <alignment vertical="center"/>
      <protection locked="0"/>
    </xf>
    <xf numFmtId="0" fontId="4" fillId="0" borderId="13" xfId="317" applyBorder="1" applyAlignment="1" applyProtection="1">
      <alignment vertical="center"/>
      <protection locked="0"/>
    </xf>
    <xf numFmtId="0" fontId="4" fillId="0" borderId="15" xfId="317" applyBorder="1" applyAlignment="1" applyProtection="1">
      <alignment vertical="center"/>
      <protection locked="0"/>
    </xf>
    <xf numFmtId="3" fontId="2" fillId="24" borderId="11" xfId="318" applyNumberFormat="1" applyFont="1" applyFill="1" applyBorder="1" applyAlignment="1" applyProtection="1">
      <alignment vertical="center"/>
      <protection locked="0"/>
    </xf>
    <xf numFmtId="3" fontId="2" fillId="24" borderId="12" xfId="318" applyNumberFormat="1" applyFont="1" applyFill="1" applyBorder="1" applyAlignment="1" applyProtection="1">
      <alignment vertical="center"/>
      <protection locked="0"/>
    </xf>
    <xf numFmtId="3" fontId="2" fillId="24" borderId="11" xfId="318" applyNumberFormat="1" applyFont="1" applyFill="1" applyBorder="1" applyAlignment="1" applyProtection="1">
      <alignment vertical="center"/>
      <protection/>
    </xf>
    <xf numFmtId="3" fontId="2" fillId="24" borderId="12" xfId="318" applyNumberFormat="1" applyFont="1" applyFill="1" applyBorder="1" applyAlignment="1" applyProtection="1">
      <alignment vertical="center"/>
      <protection/>
    </xf>
    <xf numFmtId="3" fontId="7" fillId="24" borderId="11" xfId="318" applyNumberFormat="1" applyFont="1" applyFill="1" applyBorder="1" applyAlignment="1" applyProtection="1">
      <alignment vertical="center"/>
      <protection locked="0"/>
    </xf>
    <xf numFmtId="3" fontId="7" fillId="24" borderId="11" xfId="318" applyNumberFormat="1" applyFont="1" applyFill="1" applyBorder="1" applyAlignment="1" applyProtection="1">
      <alignment vertical="center"/>
      <protection/>
    </xf>
    <xf numFmtId="3" fontId="7" fillId="24" borderId="12" xfId="318" applyNumberFormat="1" applyFont="1" applyFill="1" applyBorder="1" applyAlignment="1" applyProtection="1">
      <alignment vertical="center"/>
      <protection/>
    </xf>
    <xf numFmtId="0" fontId="2" fillId="0" borderId="0" xfId="318" applyFont="1" applyBorder="1" applyAlignment="1" applyProtection="1">
      <alignment vertical="center"/>
      <protection locked="0"/>
    </xf>
    <xf numFmtId="0" fontId="2" fillId="0" borderId="26" xfId="318" applyFont="1" applyBorder="1" applyAlignment="1" applyProtection="1">
      <alignment vertical="center"/>
      <protection locked="0"/>
    </xf>
    <xf numFmtId="3" fontId="7" fillId="24" borderId="27" xfId="318" applyNumberFormat="1" applyFont="1" applyFill="1" applyBorder="1" applyAlignment="1" applyProtection="1">
      <alignment vertical="center"/>
      <protection/>
    </xf>
    <xf numFmtId="3" fontId="7" fillId="24" borderId="28" xfId="318" applyNumberFormat="1" applyFont="1" applyFill="1" applyBorder="1" applyAlignment="1" applyProtection="1">
      <alignment vertical="center"/>
      <protection locked="0"/>
    </xf>
    <xf numFmtId="3" fontId="7" fillId="24" borderId="28" xfId="318" applyNumberFormat="1" applyFont="1" applyFill="1" applyBorder="1" applyAlignment="1" applyProtection="1">
      <alignment vertical="center"/>
      <protection/>
    </xf>
    <xf numFmtId="3" fontId="2" fillId="24" borderId="14" xfId="318" applyNumberFormat="1" applyFont="1" applyFill="1" applyBorder="1" applyAlignment="1" applyProtection="1">
      <alignment vertical="center"/>
      <protection/>
    </xf>
    <xf numFmtId="3" fontId="2" fillId="24" borderId="14" xfId="318" applyNumberFormat="1" applyFont="1" applyFill="1" applyBorder="1" applyAlignment="1" applyProtection="1">
      <alignment horizontal="center" vertical="center"/>
      <protection/>
    </xf>
    <xf numFmtId="3" fontId="2" fillId="24" borderId="15" xfId="318" applyNumberFormat="1" applyFont="1" applyFill="1" applyBorder="1" applyAlignment="1" applyProtection="1">
      <alignment vertical="center"/>
      <protection/>
    </xf>
    <xf numFmtId="0" fontId="2" fillId="24" borderId="19" xfId="282" applyNumberFormat="1" applyFont="1" applyFill="1" applyBorder="1" applyAlignment="1" applyProtection="1">
      <alignment horizontal="center" vertical="center"/>
      <protection/>
    </xf>
    <xf numFmtId="0" fontId="2" fillId="24" borderId="20" xfId="282" applyNumberFormat="1" applyFont="1" applyFill="1" applyBorder="1" applyAlignment="1" applyProtection="1">
      <alignment horizontal="center" vertical="center"/>
      <protection/>
    </xf>
    <xf numFmtId="0" fontId="2" fillId="24" borderId="20" xfId="282" applyNumberFormat="1" applyFont="1" applyFill="1" applyBorder="1" applyAlignment="1" applyProtection="1">
      <alignment horizontal="center" vertical="center"/>
      <protection/>
    </xf>
    <xf numFmtId="0" fontId="2" fillId="24" borderId="20" xfId="282" applyNumberFormat="1" applyFont="1" applyFill="1" applyBorder="1" applyAlignment="1" applyProtection="1">
      <alignment horizontal="center" vertical="center"/>
      <protection/>
    </xf>
    <xf numFmtId="0" fontId="2" fillId="24" borderId="20" xfId="282" applyNumberFormat="1" applyFont="1" applyFill="1" applyBorder="1" applyAlignment="1" applyProtection="1">
      <alignment horizontal="center" vertical="center" wrapText="1"/>
      <protection/>
    </xf>
    <xf numFmtId="0" fontId="2" fillId="24" borderId="21" xfId="282" applyNumberFormat="1" applyFont="1" applyFill="1" applyBorder="1" applyAlignment="1" applyProtection="1">
      <alignment horizontal="center" vertical="center"/>
      <protection/>
    </xf>
    <xf numFmtId="0" fontId="2" fillId="24" borderId="10" xfId="282" applyNumberFormat="1" applyFont="1" applyFill="1" applyBorder="1" applyAlignment="1" applyProtection="1">
      <alignment horizontal="left" vertical="center"/>
      <protection/>
    </xf>
    <xf numFmtId="0" fontId="7" fillId="0" borderId="12" xfId="282" applyFont="1" applyBorder="1">
      <alignment/>
      <protection/>
    </xf>
    <xf numFmtId="0" fontId="7" fillId="24" borderId="10" xfId="282" applyNumberFormat="1" applyFont="1" applyFill="1" applyBorder="1" applyAlignment="1" applyProtection="1">
      <alignment horizontal="left" vertical="center"/>
      <protection/>
    </xf>
    <xf numFmtId="0" fontId="7" fillId="24" borderId="22" xfId="282" applyNumberFormat="1" applyFont="1" applyFill="1" applyBorder="1" applyAlignment="1" applyProtection="1">
      <alignment horizontal="left" vertical="center"/>
      <protection/>
    </xf>
    <xf numFmtId="0" fontId="7" fillId="24" borderId="13" xfId="282" applyNumberFormat="1" applyFont="1" applyFill="1" applyBorder="1" applyAlignment="1" applyProtection="1">
      <alignment horizontal="left" vertical="center"/>
      <protection/>
    </xf>
    <xf numFmtId="3" fontId="7" fillId="25" borderId="14" xfId="282" applyNumberFormat="1" applyFont="1" applyFill="1" applyBorder="1" applyAlignment="1" applyProtection="1">
      <alignment horizontal="right" vertical="center"/>
      <protection/>
    </xf>
    <xf numFmtId="180" fontId="7" fillId="0" borderId="14" xfId="282" applyNumberFormat="1" applyFont="1" applyBorder="1">
      <alignment/>
      <protection/>
    </xf>
    <xf numFmtId="180" fontId="7" fillId="0" borderId="14" xfId="282" applyNumberFormat="1" applyFont="1" applyBorder="1" applyAlignment="1">
      <alignment horizontal="right"/>
      <protection/>
    </xf>
    <xf numFmtId="0" fontId="7" fillId="0" borderId="15" xfId="282" applyFont="1" applyBorder="1">
      <alignment/>
      <protection/>
    </xf>
    <xf numFmtId="3" fontId="7" fillId="0" borderId="10" xfId="318" applyNumberFormat="1" applyFont="1" applyBorder="1" applyAlignment="1" applyProtection="1">
      <alignment vertical="center"/>
      <protection locked="0"/>
    </xf>
    <xf numFmtId="0" fontId="7" fillId="0" borderId="10" xfId="318" applyFont="1" applyFill="1" applyBorder="1" applyAlignment="1">
      <alignment vertical="center"/>
      <protection/>
    </xf>
    <xf numFmtId="3" fontId="7" fillId="0" borderId="16" xfId="318" applyNumberFormat="1" applyFont="1" applyBorder="1" applyAlignment="1" applyProtection="1">
      <alignment horizontal="left" vertical="center"/>
      <protection locked="0"/>
    </xf>
    <xf numFmtId="0" fontId="7" fillId="24" borderId="10" xfId="282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/>
    </xf>
    <xf numFmtId="3" fontId="7" fillId="24" borderId="14" xfId="282" applyNumberFormat="1" applyFont="1" applyFill="1" applyBorder="1" applyAlignment="1" applyProtection="1">
      <alignment horizontal="right" vertical="center"/>
      <protection/>
    </xf>
    <xf numFmtId="3" fontId="7" fillId="24" borderId="11" xfId="282" applyNumberFormat="1" applyFont="1" applyFill="1" applyBorder="1" applyAlignment="1" applyProtection="1">
      <alignment horizontal="right" vertical="center"/>
      <protection/>
    </xf>
    <xf numFmtId="3" fontId="7" fillId="24" borderId="29" xfId="282" applyNumberFormat="1" applyFont="1" applyFill="1" applyBorder="1" applyAlignment="1" applyProtection="1">
      <alignment horizontal="right" vertical="center"/>
      <protection/>
    </xf>
    <xf numFmtId="0" fontId="7" fillId="0" borderId="12" xfId="314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178" fontId="7" fillId="0" borderId="11" xfId="314" applyNumberFormat="1" applyFont="1" applyBorder="1" applyAlignment="1">
      <alignment horizontal="center" vertical="center"/>
      <protection/>
    </xf>
    <xf numFmtId="178" fontId="7" fillId="0" borderId="14" xfId="0" applyNumberFormat="1" applyFont="1" applyBorder="1" applyAlignment="1">
      <alignment horizontal="center" vertical="center"/>
    </xf>
    <xf numFmtId="0" fontId="2" fillId="24" borderId="20" xfId="282" applyNumberFormat="1" applyFont="1" applyFill="1" applyBorder="1" applyAlignment="1" applyProtection="1">
      <alignment horizontal="center" vertical="center" wrapText="1"/>
      <protection/>
    </xf>
    <xf numFmtId="0" fontId="8" fillId="0" borderId="11" xfId="316" applyFont="1" applyBorder="1" applyAlignment="1">
      <alignment horizontal="center" vertical="center"/>
      <protection/>
    </xf>
    <xf numFmtId="0" fontId="8" fillId="0" borderId="12" xfId="316" applyFont="1" applyBorder="1" applyAlignment="1">
      <alignment horizontal="center" vertical="center"/>
      <protection/>
    </xf>
    <xf numFmtId="3" fontId="15" fillId="0" borderId="29" xfId="318" applyNumberFormat="1" applyFont="1" applyBorder="1" applyAlignment="1" applyProtection="1">
      <alignment horizontal="left" vertical="center"/>
      <protection locked="0"/>
    </xf>
    <xf numFmtId="3" fontId="8" fillId="0" borderId="30" xfId="318" applyNumberFormat="1" applyFont="1" applyBorder="1" applyAlignment="1" applyProtection="1">
      <alignment horizontal="center" vertical="center" wrapText="1"/>
      <protection locked="0"/>
    </xf>
    <xf numFmtId="3" fontId="8" fillId="0" borderId="20" xfId="318" applyNumberFormat="1" applyFont="1" applyBorder="1" applyAlignment="1" applyProtection="1">
      <alignment horizontal="center" vertical="center" wrapText="1"/>
      <protection locked="0"/>
    </xf>
    <xf numFmtId="3" fontId="8" fillId="0" borderId="31" xfId="318" applyNumberFormat="1" applyFont="1" applyBorder="1" applyAlignment="1" applyProtection="1">
      <alignment horizontal="center" vertical="center" wrapText="1"/>
      <protection locked="0"/>
    </xf>
    <xf numFmtId="3" fontId="8" fillId="0" borderId="21" xfId="318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/>
    </xf>
    <xf numFmtId="182" fontId="20" fillId="0" borderId="0" xfId="534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81" fontId="2" fillId="0" borderId="20" xfId="534" applyNumberFormat="1" applyFont="1" applyBorder="1" applyAlignment="1" applyProtection="1">
      <alignment horizontal="center" vertical="center" wrapText="1"/>
      <protection locked="0"/>
    </xf>
    <xf numFmtId="181" fontId="2" fillId="0" borderId="11" xfId="319" applyNumberFormat="1" applyFont="1" applyBorder="1" applyAlignment="1" applyProtection="1">
      <alignment horizontal="center" vertical="center" wrapText="1"/>
      <protection locked="0"/>
    </xf>
    <xf numFmtId="181" fontId="2" fillId="0" borderId="21" xfId="534" applyNumberFormat="1" applyFont="1" applyBorder="1" applyAlignment="1" applyProtection="1">
      <alignment horizontal="center" vertical="center" wrapText="1"/>
      <protection locked="0"/>
    </xf>
    <xf numFmtId="181" fontId="2" fillId="0" borderId="12" xfId="319" applyNumberFormat="1" applyFont="1" applyBorder="1" applyAlignment="1" applyProtection="1">
      <alignment horizontal="center" vertical="center" wrapText="1"/>
      <protection locked="0"/>
    </xf>
    <xf numFmtId="0" fontId="3" fillId="0" borderId="0" xfId="319" applyFont="1" applyAlignment="1" applyProtection="1">
      <alignment horizontal="left" vertical="center" shrinkToFit="1"/>
      <protection locked="0"/>
    </xf>
    <xf numFmtId="182" fontId="2" fillId="0" borderId="32" xfId="534" applyNumberFormat="1" applyFont="1" applyBorder="1" applyAlignment="1" applyProtection="1">
      <alignment horizontal="center" vertical="center" shrinkToFit="1"/>
      <protection locked="0"/>
    </xf>
    <xf numFmtId="182" fontId="2" fillId="0" borderId="22" xfId="534" applyNumberFormat="1" applyFont="1" applyBorder="1" applyAlignment="1" applyProtection="1">
      <alignment horizontal="center" vertical="center" shrinkToFit="1"/>
      <protection locked="0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317" applyFont="1" applyAlignment="1" applyProtection="1">
      <alignment horizontal="center" vertical="center"/>
      <protection/>
    </xf>
    <xf numFmtId="3" fontId="14" fillId="0" borderId="0" xfId="318" applyNumberFormat="1" applyFont="1" applyAlignment="1" applyProtection="1">
      <alignment horizontal="center" vertical="center"/>
      <protection locked="0"/>
    </xf>
    <xf numFmtId="0" fontId="7" fillId="0" borderId="0" xfId="282" applyNumberFormat="1" applyFont="1" applyFill="1" applyAlignment="1" applyProtection="1">
      <alignment horizontal="right" vertical="center"/>
      <protection/>
    </xf>
    <xf numFmtId="0" fontId="12" fillId="24" borderId="0" xfId="282" applyNumberFormat="1" applyFont="1" applyFill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316" applyFont="1" applyAlignment="1">
      <alignment horizontal="center" vertical="center"/>
      <protection/>
    </xf>
    <xf numFmtId="0" fontId="8" fillId="0" borderId="34" xfId="316" applyFont="1" applyBorder="1" applyAlignment="1">
      <alignment horizontal="center" vertical="center"/>
      <protection/>
    </xf>
    <xf numFmtId="0" fontId="8" fillId="0" borderId="35" xfId="316" applyFont="1" applyBorder="1" applyAlignment="1">
      <alignment horizontal="center" vertical="center"/>
      <protection/>
    </xf>
    <xf numFmtId="0" fontId="8" fillId="0" borderId="19" xfId="316" applyFont="1" applyBorder="1" applyAlignment="1">
      <alignment horizontal="center" vertical="center"/>
      <protection/>
    </xf>
    <xf numFmtId="0" fontId="8" fillId="0" borderId="10" xfId="316" applyFont="1" applyBorder="1" applyAlignment="1">
      <alignment horizontal="center" vertical="center"/>
      <protection/>
    </xf>
    <xf numFmtId="0" fontId="8" fillId="0" borderId="36" xfId="316" applyFont="1" applyBorder="1" applyAlignment="1">
      <alignment horizontal="center" vertical="center"/>
      <protection/>
    </xf>
    <xf numFmtId="0" fontId="8" fillId="0" borderId="18" xfId="316" applyFont="1" applyBorder="1" applyAlignment="1">
      <alignment horizontal="center" vertical="center"/>
      <protection/>
    </xf>
  </cellXfs>
  <cellStyles count="663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3" xfId="20"/>
    <cellStyle name="20% - 强调文字颜色 1 3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3" xfId="31"/>
    <cellStyle name="20% - 强调文字颜色 4" xfId="32"/>
    <cellStyle name="20% - 强调文字颜色 4 2" xfId="33"/>
    <cellStyle name="20% - 强调文字颜色 4 2 2" xfId="34"/>
    <cellStyle name="20% - 强调文字颜色 4 2 3" xfId="35"/>
    <cellStyle name="20% - 强调文字颜色 4 3" xfId="36"/>
    <cellStyle name="20% - 强调文字颜色 5" xfId="37"/>
    <cellStyle name="20% - 强调文字颜色 5 2" xfId="38"/>
    <cellStyle name="20% - 强调文字颜色 5 2 2" xfId="39"/>
    <cellStyle name="20% - 强调文字颜色 5 2 3" xfId="40"/>
    <cellStyle name="20% - 强调文字颜色 5 3" xfId="41"/>
    <cellStyle name="20% - 强调文字颜色 6" xfId="42"/>
    <cellStyle name="20% - 强调文字颜色 6 2" xfId="43"/>
    <cellStyle name="20% - 强调文字颜色 6 2 2" xfId="44"/>
    <cellStyle name="20% - 强调文字颜色 6 2 3" xfId="45"/>
    <cellStyle name="20% - 强调文字颜色 6 3" xfId="46"/>
    <cellStyle name="40% - 强调文字颜色 1" xfId="47"/>
    <cellStyle name="40% - 强调文字颜色 1 2" xfId="48"/>
    <cellStyle name="40% - 强调文字颜色 1 2 2" xfId="49"/>
    <cellStyle name="40% - 强调文字颜色 1 2 3" xfId="50"/>
    <cellStyle name="40% - 强调文字颜色 1 3" xfId="51"/>
    <cellStyle name="40% - 强调文字颜色 2" xfId="52"/>
    <cellStyle name="40% - 强调文字颜色 2 2" xfId="53"/>
    <cellStyle name="40% - 强调文字颜色 2 2 2" xfId="54"/>
    <cellStyle name="40% - 强调文字颜色 2 2 3" xfId="55"/>
    <cellStyle name="40% - 强调文字颜色 2 3" xfId="56"/>
    <cellStyle name="40% - 强调文字颜色 3" xfId="57"/>
    <cellStyle name="40% - 强调文字颜色 3 2" xfId="58"/>
    <cellStyle name="40% - 强调文字颜色 3 2 2" xfId="59"/>
    <cellStyle name="40% - 强调文字颜色 3 2 3" xfId="60"/>
    <cellStyle name="40% - 强调文字颜色 3 3" xfId="61"/>
    <cellStyle name="40% - 强调文字颜色 4" xfId="62"/>
    <cellStyle name="40% - 强调文字颜色 4 2" xfId="63"/>
    <cellStyle name="40% - 强调文字颜色 4 2 2" xfId="64"/>
    <cellStyle name="40% - 强调文字颜色 4 2 3" xfId="65"/>
    <cellStyle name="40% - 强调文字颜色 4 3" xfId="66"/>
    <cellStyle name="40% - 强调文字颜色 5" xfId="67"/>
    <cellStyle name="40% - 强调文字颜色 5 2" xfId="68"/>
    <cellStyle name="40% - 强调文字颜色 5 2 2" xfId="69"/>
    <cellStyle name="40% - 强调文字颜色 5 2 3" xfId="70"/>
    <cellStyle name="40% - 强调文字颜色 5 3" xfId="71"/>
    <cellStyle name="40% - 强调文字颜色 6" xfId="72"/>
    <cellStyle name="40% - 强调文字颜色 6 2" xfId="73"/>
    <cellStyle name="40% - 强调文字颜色 6 2 2" xfId="74"/>
    <cellStyle name="40% - 强调文字颜色 6 2 3" xfId="75"/>
    <cellStyle name="40% - 强调文字颜色 6 3" xfId="76"/>
    <cellStyle name="60% - 强调文字颜色 1" xfId="77"/>
    <cellStyle name="60% - 强调文字颜色 1 2" xfId="78"/>
    <cellStyle name="60% - 强调文字颜色 1 2 2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3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4" xfId="89"/>
    <cellStyle name="60% - 强调文字颜色 4 2" xfId="90"/>
    <cellStyle name="60% - 强调文字颜色 4 2 2" xfId="91"/>
    <cellStyle name="60% - 强调文字颜色 4 3" xfId="92"/>
    <cellStyle name="60% - 强调文字颜色 5" xfId="93"/>
    <cellStyle name="60% - 强调文字颜色 5 2" xfId="94"/>
    <cellStyle name="60% - 强调文字颜色 5 2 2" xfId="95"/>
    <cellStyle name="60% - 强调文字颜色 5 3" xfId="96"/>
    <cellStyle name="60% - 强调文字颜色 6" xfId="97"/>
    <cellStyle name="60% - 强调文字颜色 6 2" xfId="98"/>
    <cellStyle name="60% - 强调文字颜色 6 2 2" xfId="99"/>
    <cellStyle name="60% - 强调文字颜色 6 3" xfId="100"/>
    <cellStyle name="no dec" xfId="101"/>
    <cellStyle name="Normal_APR" xfId="102"/>
    <cellStyle name="Percent" xfId="103"/>
    <cellStyle name="百分比 2" xfId="104"/>
    <cellStyle name="标题" xfId="105"/>
    <cellStyle name="标题 1" xfId="106"/>
    <cellStyle name="标题 1 2" xfId="107"/>
    <cellStyle name="标题 1 2 10" xfId="108"/>
    <cellStyle name="标题 1 2 10 2" xfId="109"/>
    <cellStyle name="标题 1 2 11" xfId="110"/>
    <cellStyle name="标题 1 2 11 2" xfId="111"/>
    <cellStyle name="标题 1 2 12" xfId="112"/>
    <cellStyle name="标题 1 2 12 2" xfId="113"/>
    <cellStyle name="标题 1 2 13" xfId="114"/>
    <cellStyle name="标题 1 2 2" xfId="115"/>
    <cellStyle name="标题 1 2 2 2" xfId="116"/>
    <cellStyle name="标题 1 2 3" xfId="117"/>
    <cellStyle name="标题 1 2 3 2" xfId="118"/>
    <cellStyle name="标题 1 2 4" xfId="119"/>
    <cellStyle name="标题 1 2 4 2" xfId="120"/>
    <cellStyle name="标题 1 2 5" xfId="121"/>
    <cellStyle name="标题 1 2 5 2" xfId="122"/>
    <cellStyle name="标题 1 2 6" xfId="123"/>
    <cellStyle name="标题 1 2 6 2" xfId="124"/>
    <cellStyle name="标题 1 2 7" xfId="125"/>
    <cellStyle name="标题 1 2 7 2" xfId="126"/>
    <cellStyle name="标题 1 2 8" xfId="127"/>
    <cellStyle name="标题 1 2 8 2" xfId="128"/>
    <cellStyle name="标题 1 2 9" xfId="129"/>
    <cellStyle name="标题 1 2 9 2" xfId="130"/>
    <cellStyle name="标题 2" xfId="131"/>
    <cellStyle name="标题 2 2" xfId="132"/>
    <cellStyle name="标题 2 2 10" xfId="133"/>
    <cellStyle name="标题 2 2 10 2" xfId="134"/>
    <cellStyle name="标题 2 2 11" xfId="135"/>
    <cellStyle name="标题 2 2 11 2" xfId="136"/>
    <cellStyle name="标题 2 2 12" xfId="137"/>
    <cellStyle name="标题 2 2 12 2" xfId="138"/>
    <cellStyle name="标题 2 2 13" xfId="139"/>
    <cellStyle name="标题 2 2 2" xfId="140"/>
    <cellStyle name="标题 2 2 2 2" xfId="141"/>
    <cellStyle name="标题 2 2 3" xfId="142"/>
    <cellStyle name="标题 2 2 3 2" xfId="143"/>
    <cellStyle name="标题 2 2 4" xfId="144"/>
    <cellStyle name="标题 2 2 4 2" xfId="145"/>
    <cellStyle name="标题 2 2 5" xfId="146"/>
    <cellStyle name="标题 2 2 5 2" xfId="147"/>
    <cellStyle name="标题 2 2 6" xfId="148"/>
    <cellStyle name="标题 2 2 6 2" xfId="149"/>
    <cellStyle name="标题 2 2 7" xfId="150"/>
    <cellStyle name="标题 2 2 7 2" xfId="151"/>
    <cellStyle name="标题 2 2 8" xfId="152"/>
    <cellStyle name="标题 2 2 8 2" xfId="153"/>
    <cellStyle name="标题 2 2 9" xfId="154"/>
    <cellStyle name="标题 2 2 9 2" xfId="155"/>
    <cellStyle name="标题 3" xfId="156"/>
    <cellStyle name="标题 3 2" xfId="157"/>
    <cellStyle name="标题 3 2 10" xfId="158"/>
    <cellStyle name="标题 3 2 10 2" xfId="159"/>
    <cellStyle name="标题 3 2 11" xfId="160"/>
    <cellStyle name="标题 3 2 11 2" xfId="161"/>
    <cellStyle name="标题 3 2 12" xfId="162"/>
    <cellStyle name="标题 3 2 12 2" xfId="163"/>
    <cellStyle name="标题 3 2 13" xfId="164"/>
    <cellStyle name="标题 3 2 2" xfId="165"/>
    <cellStyle name="标题 3 2 2 2" xfId="166"/>
    <cellStyle name="标题 3 2 3" xfId="167"/>
    <cellStyle name="标题 3 2 3 2" xfId="168"/>
    <cellStyle name="标题 3 2 4" xfId="169"/>
    <cellStyle name="标题 3 2 4 2" xfId="170"/>
    <cellStyle name="标题 3 2 5" xfId="171"/>
    <cellStyle name="标题 3 2 5 2" xfId="172"/>
    <cellStyle name="标题 3 2 6" xfId="173"/>
    <cellStyle name="标题 3 2 6 2" xfId="174"/>
    <cellStyle name="标题 3 2 7" xfId="175"/>
    <cellStyle name="标题 3 2 7 2" xfId="176"/>
    <cellStyle name="标题 3 2 8" xfId="177"/>
    <cellStyle name="标题 3 2 8 2" xfId="178"/>
    <cellStyle name="标题 3 2 9" xfId="179"/>
    <cellStyle name="标题 3 2 9 2" xfId="180"/>
    <cellStyle name="标题 4" xfId="181"/>
    <cellStyle name="标题 4 2" xfId="182"/>
    <cellStyle name="标题 4 2 10" xfId="183"/>
    <cellStyle name="标题 4 2 10 2" xfId="184"/>
    <cellStyle name="标题 4 2 11" xfId="185"/>
    <cellStyle name="标题 4 2 11 2" xfId="186"/>
    <cellStyle name="标题 4 2 12" xfId="187"/>
    <cellStyle name="标题 4 2 12 2" xfId="188"/>
    <cellStyle name="标题 4 2 13" xfId="189"/>
    <cellStyle name="标题 4 2 2" xfId="190"/>
    <cellStyle name="标题 4 2 2 2" xfId="191"/>
    <cellStyle name="标题 4 2 3" xfId="192"/>
    <cellStyle name="标题 4 2 3 2" xfId="193"/>
    <cellStyle name="标题 4 2 4" xfId="194"/>
    <cellStyle name="标题 4 2 4 2" xfId="195"/>
    <cellStyle name="标题 4 2 5" xfId="196"/>
    <cellStyle name="标题 4 2 5 2" xfId="197"/>
    <cellStyle name="标题 4 2 6" xfId="198"/>
    <cellStyle name="标题 4 2 6 2" xfId="199"/>
    <cellStyle name="标题 4 2 7" xfId="200"/>
    <cellStyle name="标题 4 2 7 2" xfId="201"/>
    <cellStyle name="标题 4 2 8" xfId="202"/>
    <cellStyle name="标题 4 2 8 2" xfId="203"/>
    <cellStyle name="标题 4 2 9" xfId="204"/>
    <cellStyle name="标题 4 2 9 2" xfId="205"/>
    <cellStyle name="标题 5" xfId="206"/>
    <cellStyle name="标题 5 10" xfId="207"/>
    <cellStyle name="标题 5 10 2" xfId="208"/>
    <cellStyle name="标题 5 11" xfId="209"/>
    <cellStyle name="标题 5 11 2" xfId="210"/>
    <cellStyle name="标题 5 12" xfId="211"/>
    <cellStyle name="标题 5 12 2" xfId="212"/>
    <cellStyle name="标题 5 13" xfId="213"/>
    <cellStyle name="标题 5 2" xfId="214"/>
    <cellStyle name="标题 5 2 2" xfId="215"/>
    <cellStyle name="标题 5 3" xfId="216"/>
    <cellStyle name="标题 5 3 2" xfId="217"/>
    <cellStyle name="标题 5 4" xfId="218"/>
    <cellStyle name="标题 5 4 2" xfId="219"/>
    <cellStyle name="标题 5 5" xfId="220"/>
    <cellStyle name="标题 5 5 2" xfId="221"/>
    <cellStyle name="标题 5 6" xfId="222"/>
    <cellStyle name="标题 5 6 2" xfId="223"/>
    <cellStyle name="标题 5 7" xfId="224"/>
    <cellStyle name="标题 5 7 2" xfId="225"/>
    <cellStyle name="标题 5 8" xfId="226"/>
    <cellStyle name="标题 5 8 2" xfId="227"/>
    <cellStyle name="标题 5 9" xfId="228"/>
    <cellStyle name="标题 5 9 2" xfId="229"/>
    <cellStyle name="差" xfId="230"/>
    <cellStyle name="差 2" xfId="231"/>
    <cellStyle name="差 2 10" xfId="232"/>
    <cellStyle name="差 2 10 2" xfId="233"/>
    <cellStyle name="差 2 11" xfId="234"/>
    <cellStyle name="差 2 11 2" xfId="235"/>
    <cellStyle name="差 2 12" xfId="236"/>
    <cellStyle name="差 2 12 2" xfId="237"/>
    <cellStyle name="差 2 13" xfId="238"/>
    <cellStyle name="差 2 2" xfId="239"/>
    <cellStyle name="差 2 2 2" xfId="240"/>
    <cellStyle name="差 2 3" xfId="241"/>
    <cellStyle name="差 2 3 2" xfId="242"/>
    <cellStyle name="差 2 4" xfId="243"/>
    <cellStyle name="差 2 4 2" xfId="244"/>
    <cellStyle name="差 2 5" xfId="245"/>
    <cellStyle name="差 2 5 2" xfId="246"/>
    <cellStyle name="差 2 6" xfId="247"/>
    <cellStyle name="差 2 6 2" xfId="248"/>
    <cellStyle name="差 2 7" xfId="249"/>
    <cellStyle name="差 2 7 2" xfId="250"/>
    <cellStyle name="差 2 8" xfId="251"/>
    <cellStyle name="差 2 8 2" xfId="252"/>
    <cellStyle name="差 2 9" xfId="253"/>
    <cellStyle name="差 2 9 2" xfId="254"/>
    <cellStyle name="差 3" xfId="255"/>
    <cellStyle name="差 3 2" xfId="256"/>
    <cellStyle name="差 3 3" xfId="257"/>
    <cellStyle name="差_2010年12月税收计划完成情况通报表" xfId="258"/>
    <cellStyle name="差_2010年12月税收计划完成情况通报表 2" xfId="259"/>
    <cellStyle name="差_2014年一般预入计划(发改委简化表)" xfId="260"/>
    <cellStyle name="差_2014年一般预入计划(发改委简化表) 2" xfId="261"/>
    <cellStyle name="差_2014年一般预入计划(市政府下达)" xfId="262"/>
    <cellStyle name="差_2014年一般预入计划(市政府下达) 2" xfId="263"/>
    <cellStyle name="差_2015功能预算正式本表4.30" xfId="264"/>
    <cellStyle name="差_2015功能预算正式本表4.30 2" xfId="265"/>
    <cellStyle name="差_2015年一般预入计划(简化表)" xfId="266"/>
    <cellStyle name="差_2015年一般预入计划(简化表) 2" xfId="267"/>
    <cellStyle name="差_2016年新宾县一般公共预算收入预算表" xfId="268"/>
    <cellStyle name="差_2016年新宾县一般公共预算收入预算表 2" xfId="269"/>
    <cellStyle name="常规 10" xfId="270"/>
    <cellStyle name="常规 2" xfId="271"/>
    <cellStyle name="常规 2 2" xfId="272"/>
    <cellStyle name="常规 2 2 2" xfId="273"/>
    <cellStyle name="常规 2 2 3" xfId="274"/>
    <cellStyle name="常规 2 3" xfId="275"/>
    <cellStyle name="常规 2 3 2" xfId="276"/>
    <cellStyle name="常规 2 3 3" xfId="277"/>
    <cellStyle name="常规 2 4" xfId="278"/>
    <cellStyle name="常规 2 4 2" xfId="279"/>
    <cellStyle name="常规 2 5" xfId="280"/>
    <cellStyle name="常规 2 6" xfId="281"/>
    <cellStyle name="常规 3" xfId="282"/>
    <cellStyle name="常规 3 10" xfId="283"/>
    <cellStyle name="常规 3 10 2" xfId="284"/>
    <cellStyle name="常规 3 11" xfId="285"/>
    <cellStyle name="常规 3 11 2" xfId="286"/>
    <cellStyle name="常规 3 12" xfId="287"/>
    <cellStyle name="常规 3 2" xfId="288"/>
    <cellStyle name="常规 3 2 2" xfId="289"/>
    <cellStyle name="常规 3 2 2 2" xfId="290"/>
    <cellStyle name="常规 3 2 3" xfId="291"/>
    <cellStyle name="常规 3 3" xfId="292"/>
    <cellStyle name="常规 3 3 2" xfId="293"/>
    <cellStyle name="常规 3 3 3" xfId="294"/>
    <cellStyle name="常规 3 4" xfId="295"/>
    <cellStyle name="常规 3 4 2" xfId="296"/>
    <cellStyle name="常规 3 5" xfId="297"/>
    <cellStyle name="常规 3 5 2" xfId="298"/>
    <cellStyle name="常规 3 6" xfId="299"/>
    <cellStyle name="常规 3 6 2" xfId="300"/>
    <cellStyle name="常规 3 7" xfId="301"/>
    <cellStyle name="常规 3 7 2" xfId="302"/>
    <cellStyle name="常规 3 8" xfId="303"/>
    <cellStyle name="常规 3 8 2" xfId="304"/>
    <cellStyle name="常规 3 9" xfId="305"/>
    <cellStyle name="常规 3 9 2" xfId="306"/>
    <cellStyle name="常规 3_2017年预算 - 县区12-19" xfId="307"/>
    <cellStyle name="常规 4" xfId="308"/>
    <cellStyle name="常规 4 2" xfId="309"/>
    <cellStyle name="常规 4 3" xfId="310"/>
    <cellStyle name="常规 4 4" xfId="311"/>
    <cellStyle name="常规 5" xfId="312"/>
    <cellStyle name="常规 5 2" xfId="313"/>
    <cellStyle name="常规 6" xfId="314"/>
    <cellStyle name="常规_2010年全县一般预算财政收入分级表" xfId="315"/>
    <cellStyle name="常规_2014年政府预算公开模板" xfId="316"/>
    <cellStyle name="常规_2015年部门预算基层填表" xfId="317"/>
    <cellStyle name="常规_2016年县乡财政平衡" xfId="318"/>
    <cellStyle name="常规_2016年新宾县一般公共预算收入预算表" xfId="319"/>
    <cellStyle name="Hyperlink" xfId="320"/>
    <cellStyle name="好" xfId="321"/>
    <cellStyle name="好 2" xfId="322"/>
    <cellStyle name="好 2 10" xfId="323"/>
    <cellStyle name="好 2 10 2" xfId="324"/>
    <cellStyle name="好 2 11" xfId="325"/>
    <cellStyle name="好 2 11 2" xfId="326"/>
    <cellStyle name="好 2 12" xfId="327"/>
    <cellStyle name="好 2 12 2" xfId="328"/>
    <cellStyle name="好 2 13" xfId="329"/>
    <cellStyle name="好 2 2" xfId="330"/>
    <cellStyle name="好 2 2 2" xfId="331"/>
    <cellStyle name="好 2 3" xfId="332"/>
    <cellStyle name="好 2 3 2" xfId="333"/>
    <cellStyle name="好 2 4" xfId="334"/>
    <cellStyle name="好 2 4 2" xfId="335"/>
    <cellStyle name="好 2 5" xfId="336"/>
    <cellStyle name="好 2 5 2" xfId="337"/>
    <cellStyle name="好 2 6" xfId="338"/>
    <cellStyle name="好 2 6 2" xfId="339"/>
    <cellStyle name="好 2 7" xfId="340"/>
    <cellStyle name="好 2 7 2" xfId="341"/>
    <cellStyle name="好 2 8" xfId="342"/>
    <cellStyle name="好 2 8 2" xfId="343"/>
    <cellStyle name="好 2 9" xfId="344"/>
    <cellStyle name="好 2 9 2" xfId="345"/>
    <cellStyle name="好 3" xfId="346"/>
    <cellStyle name="好 3 2" xfId="347"/>
    <cellStyle name="好 3 3" xfId="348"/>
    <cellStyle name="好_2010年12月税收计划完成情况通报表" xfId="349"/>
    <cellStyle name="好_2010年12月税收计划完成情况通报表 2" xfId="350"/>
    <cellStyle name="好_2014年一般预入计划(发改委简化表)" xfId="351"/>
    <cellStyle name="好_2014年一般预入计划(发改委简化表) 2" xfId="352"/>
    <cellStyle name="好_2014年一般预入计划(市政府下达)" xfId="353"/>
    <cellStyle name="好_2014年一般预入计划(市政府下达) 2" xfId="354"/>
    <cellStyle name="好_2015功能预算正式本表4.30" xfId="355"/>
    <cellStyle name="好_2015功能预算正式本表4.30 2" xfId="356"/>
    <cellStyle name="好_2015年一般预入计划(简化表)" xfId="357"/>
    <cellStyle name="好_2015年一般预入计划(简化表) 2" xfId="358"/>
    <cellStyle name="好_2016年新宾县一般公共预算收入预算表" xfId="359"/>
    <cellStyle name="好_2016年新宾县一般公共预算收入预算表 2" xfId="360"/>
    <cellStyle name="汇总" xfId="361"/>
    <cellStyle name="汇总 2" xfId="362"/>
    <cellStyle name="汇总 2 10" xfId="363"/>
    <cellStyle name="汇总 2 10 2" xfId="364"/>
    <cellStyle name="汇总 2 11" xfId="365"/>
    <cellStyle name="汇总 2 11 2" xfId="366"/>
    <cellStyle name="汇总 2 12" xfId="367"/>
    <cellStyle name="汇总 2 12 2" xfId="368"/>
    <cellStyle name="汇总 2 13" xfId="369"/>
    <cellStyle name="汇总 2 2" xfId="370"/>
    <cellStyle name="汇总 2 2 2" xfId="371"/>
    <cellStyle name="汇总 2 3" xfId="372"/>
    <cellStyle name="汇总 2 3 2" xfId="373"/>
    <cellStyle name="汇总 2 4" xfId="374"/>
    <cellStyle name="汇总 2 4 2" xfId="375"/>
    <cellStyle name="汇总 2 5" xfId="376"/>
    <cellStyle name="汇总 2 5 2" xfId="377"/>
    <cellStyle name="汇总 2 6" xfId="378"/>
    <cellStyle name="汇总 2 6 2" xfId="379"/>
    <cellStyle name="汇总 2 7" xfId="380"/>
    <cellStyle name="汇总 2 7 2" xfId="381"/>
    <cellStyle name="汇总 2 8" xfId="382"/>
    <cellStyle name="汇总 2 8 2" xfId="383"/>
    <cellStyle name="汇总 2 9" xfId="384"/>
    <cellStyle name="汇总 2 9 2" xfId="385"/>
    <cellStyle name="Currency" xfId="386"/>
    <cellStyle name="Currency [0]" xfId="387"/>
    <cellStyle name="计算" xfId="388"/>
    <cellStyle name="计算 2" xfId="389"/>
    <cellStyle name="计算 2 10" xfId="390"/>
    <cellStyle name="计算 2 10 2" xfId="391"/>
    <cellStyle name="计算 2 11" xfId="392"/>
    <cellStyle name="计算 2 11 2" xfId="393"/>
    <cellStyle name="计算 2 12" xfId="394"/>
    <cellStyle name="计算 2 12 2" xfId="395"/>
    <cellStyle name="计算 2 13" xfId="396"/>
    <cellStyle name="计算 2 2" xfId="397"/>
    <cellStyle name="计算 2 2 2" xfId="398"/>
    <cellStyle name="计算 2 3" xfId="399"/>
    <cellStyle name="计算 2 3 2" xfId="400"/>
    <cellStyle name="计算 2 4" xfId="401"/>
    <cellStyle name="计算 2 4 2" xfId="402"/>
    <cellStyle name="计算 2 5" xfId="403"/>
    <cellStyle name="计算 2 5 2" xfId="404"/>
    <cellStyle name="计算 2 6" xfId="405"/>
    <cellStyle name="计算 2 6 2" xfId="406"/>
    <cellStyle name="计算 2 7" xfId="407"/>
    <cellStyle name="计算 2 7 2" xfId="408"/>
    <cellStyle name="计算 2 8" xfId="409"/>
    <cellStyle name="计算 2 8 2" xfId="410"/>
    <cellStyle name="计算 2 9" xfId="411"/>
    <cellStyle name="计算 2 9 2" xfId="412"/>
    <cellStyle name="计算 3" xfId="413"/>
    <cellStyle name="计算 3 2" xfId="414"/>
    <cellStyle name="计算 3 3" xfId="415"/>
    <cellStyle name="检查单元格" xfId="416"/>
    <cellStyle name="检查单元格 2" xfId="417"/>
    <cellStyle name="检查单元格 2 10" xfId="418"/>
    <cellStyle name="检查单元格 2 10 2" xfId="419"/>
    <cellStyle name="检查单元格 2 11" xfId="420"/>
    <cellStyle name="检查单元格 2 11 2" xfId="421"/>
    <cellStyle name="检查单元格 2 12" xfId="422"/>
    <cellStyle name="检查单元格 2 12 2" xfId="423"/>
    <cellStyle name="检查单元格 2 13" xfId="424"/>
    <cellStyle name="检查单元格 2 2" xfId="425"/>
    <cellStyle name="检查单元格 2 2 2" xfId="426"/>
    <cellStyle name="检查单元格 2 3" xfId="427"/>
    <cellStyle name="检查单元格 2 3 2" xfId="428"/>
    <cellStyle name="检查单元格 2 4" xfId="429"/>
    <cellStyle name="检查单元格 2 4 2" xfId="430"/>
    <cellStyle name="检查单元格 2 5" xfId="431"/>
    <cellStyle name="检查单元格 2 5 2" xfId="432"/>
    <cellStyle name="检查单元格 2 6" xfId="433"/>
    <cellStyle name="检查单元格 2 6 2" xfId="434"/>
    <cellStyle name="检查单元格 2 7" xfId="435"/>
    <cellStyle name="检查单元格 2 7 2" xfId="436"/>
    <cellStyle name="检查单元格 2 8" xfId="437"/>
    <cellStyle name="检查单元格 2 8 2" xfId="438"/>
    <cellStyle name="检查单元格 2 9" xfId="439"/>
    <cellStyle name="检查单元格 2 9 2" xfId="440"/>
    <cellStyle name="检查单元格 3" xfId="441"/>
    <cellStyle name="检查单元格 3 2" xfId="442"/>
    <cellStyle name="检查单元格 3 3" xfId="443"/>
    <cellStyle name="解释性文本" xfId="444"/>
    <cellStyle name="解释性文本 2" xfId="445"/>
    <cellStyle name="解释性文本 2 10" xfId="446"/>
    <cellStyle name="解释性文本 2 10 2" xfId="447"/>
    <cellStyle name="解释性文本 2 11" xfId="448"/>
    <cellStyle name="解释性文本 2 11 2" xfId="449"/>
    <cellStyle name="解释性文本 2 12" xfId="450"/>
    <cellStyle name="解释性文本 2 12 2" xfId="451"/>
    <cellStyle name="解释性文本 2 13" xfId="452"/>
    <cellStyle name="解释性文本 2 2" xfId="453"/>
    <cellStyle name="解释性文本 2 2 2" xfId="454"/>
    <cellStyle name="解释性文本 2 3" xfId="455"/>
    <cellStyle name="解释性文本 2 3 2" xfId="456"/>
    <cellStyle name="解释性文本 2 4" xfId="457"/>
    <cellStyle name="解释性文本 2 4 2" xfId="458"/>
    <cellStyle name="解释性文本 2 5" xfId="459"/>
    <cellStyle name="解释性文本 2 5 2" xfId="460"/>
    <cellStyle name="解释性文本 2 6" xfId="461"/>
    <cellStyle name="解释性文本 2 6 2" xfId="462"/>
    <cellStyle name="解释性文本 2 7" xfId="463"/>
    <cellStyle name="解释性文本 2 7 2" xfId="464"/>
    <cellStyle name="解释性文本 2 8" xfId="465"/>
    <cellStyle name="解释性文本 2 8 2" xfId="466"/>
    <cellStyle name="解释性文本 2 9" xfId="467"/>
    <cellStyle name="解释性文本 2 9 2" xfId="468"/>
    <cellStyle name="警告文本" xfId="469"/>
    <cellStyle name="警告文本 2" xfId="470"/>
    <cellStyle name="警告文本 2 10" xfId="471"/>
    <cellStyle name="警告文本 2 10 2" xfId="472"/>
    <cellStyle name="警告文本 2 11" xfId="473"/>
    <cellStyle name="警告文本 2 11 2" xfId="474"/>
    <cellStyle name="警告文本 2 12" xfId="475"/>
    <cellStyle name="警告文本 2 12 2" xfId="476"/>
    <cellStyle name="警告文本 2 13" xfId="477"/>
    <cellStyle name="警告文本 2 2" xfId="478"/>
    <cellStyle name="警告文本 2 2 2" xfId="479"/>
    <cellStyle name="警告文本 2 3" xfId="480"/>
    <cellStyle name="警告文本 2 3 2" xfId="481"/>
    <cellStyle name="警告文本 2 4" xfId="482"/>
    <cellStyle name="警告文本 2 4 2" xfId="483"/>
    <cellStyle name="警告文本 2 5" xfId="484"/>
    <cellStyle name="警告文本 2 5 2" xfId="485"/>
    <cellStyle name="警告文本 2 6" xfId="486"/>
    <cellStyle name="警告文本 2 6 2" xfId="487"/>
    <cellStyle name="警告文本 2 7" xfId="488"/>
    <cellStyle name="警告文本 2 7 2" xfId="489"/>
    <cellStyle name="警告文本 2 8" xfId="490"/>
    <cellStyle name="警告文本 2 8 2" xfId="491"/>
    <cellStyle name="警告文本 2 9" xfId="492"/>
    <cellStyle name="警告文本 2 9 2" xfId="493"/>
    <cellStyle name="链接单元格" xfId="494"/>
    <cellStyle name="链接单元格 2" xfId="495"/>
    <cellStyle name="链接单元格 2 10" xfId="496"/>
    <cellStyle name="链接单元格 2 10 2" xfId="497"/>
    <cellStyle name="链接单元格 2 11" xfId="498"/>
    <cellStyle name="链接单元格 2 11 2" xfId="499"/>
    <cellStyle name="链接单元格 2 12" xfId="500"/>
    <cellStyle name="链接单元格 2 12 2" xfId="501"/>
    <cellStyle name="链接单元格 2 13" xfId="502"/>
    <cellStyle name="链接单元格 2 2" xfId="503"/>
    <cellStyle name="链接单元格 2 2 2" xfId="504"/>
    <cellStyle name="链接单元格 2 3" xfId="505"/>
    <cellStyle name="链接单元格 2 3 2" xfId="506"/>
    <cellStyle name="链接单元格 2 4" xfId="507"/>
    <cellStyle name="链接单元格 2 4 2" xfId="508"/>
    <cellStyle name="链接单元格 2 5" xfId="509"/>
    <cellStyle name="链接单元格 2 5 2" xfId="510"/>
    <cellStyle name="链接单元格 2 6" xfId="511"/>
    <cellStyle name="链接单元格 2 6 2" xfId="512"/>
    <cellStyle name="链接单元格 2 7" xfId="513"/>
    <cellStyle name="链接单元格 2 7 2" xfId="514"/>
    <cellStyle name="链接单元格 2 8" xfId="515"/>
    <cellStyle name="链接单元格 2 8 2" xfId="516"/>
    <cellStyle name="链接单元格 2 9" xfId="517"/>
    <cellStyle name="链接单元格 2 9 2" xfId="518"/>
    <cellStyle name="普通_97-917" xfId="519"/>
    <cellStyle name="千分位[0]_laroux" xfId="520"/>
    <cellStyle name="千分位_97-917" xfId="521"/>
    <cellStyle name="千位[0]_1" xfId="522"/>
    <cellStyle name="千位_1" xfId="523"/>
    <cellStyle name="Comma" xfId="524"/>
    <cellStyle name="千位分隔 2" xfId="525"/>
    <cellStyle name="千位分隔 2 2" xfId="526"/>
    <cellStyle name="千位分隔 2 2 2" xfId="527"/>
    <cellStyle name="千位分隔 2 3" xfId="528"/>
    <cellStyle name="千位分隔 2 3 2" xfId="529"/>
    <cellStyle name="千位分隔 2 4" xfId="530"/>
    <cellStyle name="千位分隔 2 4 2" xfId="531"/>
    <cellStyle name="千位分隔 2 5" xfId="532"/>
    <cellStyle name="Comma [0]" xfId="533"/>
    <cellStyle name="千位分隔_2016年新宾县一般公共预算收入预算表" xfId="534"/>
    <cellStyle name="强调文字颜色 1" xfId="535"/>
    <cellStyle name="强调文字颜色 1 2" xfId="536"/>
    <cellStyle name="强调文字颜色 1 2 2" xfId="537"/>
    <cellStyle name="强调文字颜色 1 3" xfId="538"/>
    <cellStyle name="强调文字颜色 2" xfId="539"/>
    <cellStyle name="强调文字颜色 2 2" xfId="540"/>
    <cellStyle name="强调文字颜色 2 2 2" xfId="541"/>
    <cellStyle name="强调文字颜色 2 3" xfId="542"/>
    <cellStyle name="强调文字颜色 3" xfId="543"/>
    <cellStyle name="强调文字颜色 3 2" xfId="544"/>
    <cellStyle name="强调文字颜色 3 2 2" xfId="545"/>
    <cellStyle name="强调文字颜色 3 3" xfId="546"/>
    <cellStyle name="强调文字颜色 4" xfId="547"/>
    <cellStyle name="强调文字颜色 4 2" xfId="548"/>
    <cellStyle name="强调文字颜色 4 2 2" xfId="549"/>
    <cellStyle name="强调文字颜色 4 3" xfId="550"/>
    <cellStyle name="强调文字颜色 5" xfId="551"/>
    <cellStyle name="强调文字颜色 5 2" xfId="552"/>
    <cellStyle name="强调文字颜色 5 2 2" xfId="553"/>
    <cellStyle name="强调文字颜色 5 3" xfId="554"/>
    <cellStyle name="强调文字颜色 6" xfId="555"/>
    <cellStyle name="强调文字颜色 6 2" xfId="556"/>
    <cellStyle name="强调文字颜色 6 2 2" xfId="557"/>
    <cellStyle name="强调文字颜色 6 3" xfId="558"/>
    <cellStyle name="适中" xfId="559"/>
    <cellStyle name="适中 2" xfId="560"/>
    <cellStyle name="适中 2 10" xfId="561"/>
    <cellStyle name="适中 2 10 2" xfId="562"/>
    <cellStyle name="适中 2 11" xfId="563"/>
    <cellStyle name="适中 2 11 2" xfId="564"/>
    <cellStyle name="适中 2 12" xfId="565"/>
    <cellStyle name="适中 2 12 2" xfId="566"/>
    <cellStyle name="适中 2 13" xfId="567"/>
    <cellStyle name="适中 2 2" xfId="568"/>
    <cellStyle name="适中 2 2 2" xfId="569"/>
    <cellStyle name="适中 2 3" xfId="570"/>
    <cellStyle name="适中 2 3 2" xfId="571"/>
    <cellStyle name="适中 2 4" xfId="572"/>
    <cellStyle name="适中 2 4 2" xfId="573"/>
    <cellStyle name="适中 2 5" xfId="574"/>
    <cellStyle name="适中 2 5 2" xfId="575"/>
    <cellStyle name="适中 2 6" xfId="576"/>
    <cellStyle name="适中 2 6 2" xfId="577"/>
    <cellStyle name="适中 2 7" xfId="578"/>
    <cellStyle name="适中 2 7 2" xfId="579"/>
    <cellStyle name="适中 2 8" xfId="580"/>
    <cellStyle name="适中 2 8 2" xfId="581"/>
    <cellStyle name="适中 2 9" xfId="582"/>
    <cellStyle name="适中 2 9 2" xfId="583"/>
    <cellStyle name="适中 3" xfId="584"/>
    <cellStyle name="适中 3 2" xfId="585"/>
    <cellStyle name="适中 3 3" xfId="586"/>
    <cellStyle name="输出" xfId="587"/>
    <cellStyle name="输出 2" xfId="588"/>
    <cellStyle name="输出 2 10" xfId="589"/>
    <cellStyle name="输出 2 10 2" xfId="590"/>
    <cellStyle name="输出 2 11" xfId="591"/>
    <cellStyle name="输出 2 11 2" xfId="592"/>
    <cellStyle name="输出 2 12" xfId="593"/>
    <cellStyle name="输出 2 12 2" xfId="594"/>
    <cellStyle name="输出 2 13" xfId="595"/>
    <cellStyle name="输出 2 2" xfId="596"/>
    <cellStyle name="输出 2 2 2" xfId="597"/>
    <cellStyle name="输出 2 3" xfId="598"/>
    <cellStyle name="输出 2 3 2" xfId="599"/>
    <cellStyle name="输出 2 4" xfId="600"/>
    <cellStyle name="输出 2 4 2" xfId="601"/>
    <cellStyle name="输出 2 5" xfId="602"/>
    <cellStyle name="输出 2 5 2" xfId="603"/>
    <cellStyle name="输出 2 6" xfId="604"/>
    <cellStyle name="输出 2 6 2" xfId="605"/>
    <cellStyle name="输出 2 7" xfId="606"/>
    <cellStyle name="输出 2 7 2" xfId="607"/>
    <cellStyle name="输出 2 8" xfId="608"/>
    <cellStyle name="输出 2 8 2" xfId="609"/>
    <cellStyle name="输出 2 9" xfId="610"/>
    <cellStyle name="输出 2 9 2" xfId="611"/>
    <cellStyle name="输出 3" xfId="612"/>
    <cellStyle name="输出 3 2" xfId="613"/>
    <cellStyle name="输出 3 3" xfId="614"/>
    <cellStyle name="输入" xfId="615"/>
    <cellStyle name="输入 2" xfId="616"/>
    <cellStyle name="输入 2 10" xfId="617"/>
    <cellStyle name="输入 2 10 2" xfId="618"/>
    <cellStyle name="输入 2 11" xfId="619"/>
    <cellStyle name="输入 2 11 2" xfId="620"/>
    <cellStyle name="输入 2 12" xfId="621"/>
    <cellStyle name="输入 2 12 2" xfId="622"/>
    <cellStyle name="输入 2 13" xfId="623"/>
    <cellStyle name="输入 2 2" xfId="624"/>
    <cellStyle name="输入 2 2 2" xfId="625"/>
    <cellStyle name="输入 2 3" xfId="626"/>
    <cellStyle name="输入 2 3 2" xfId="627"/>
    <cellStyle name="输入 2 4" xfId="628"/>
    <cellStyle name="输入 2 4 2" xfId="629"/>
    <cellStyle name="输入 2 5" xfId="630"/>
    <cellStyle name="输入 2 5 2" xfId="631"/>
    <cellStyle name="输入 2 6" xfId="632"/>
    <cellStyle name="输入 2 6 2" xfId="633"/>
    <cellStyle name="输入 2 7" xfId="634"/>
    <cellStyle name="输入 2 7 2" xfId="635"/>
    <cellStyle name="输入 2 8" xfId="636"/>
    <cellStyle name="输入 2 8 2" xfId="637"/>
    <cellStyle name="输入 2 9" xfId="638"/>
    <cellStyle name="输入 2 9 2" xfId="639"/>
    <cellStyle name="输入 3" xfId="640"/>
    <cellStyle name="输入 3 2" xfId="641"/>
    <cellStyle name="输入 3 3" xfId="642"/>
    <cellStyle name="未定义" xfId="643"/>
    <cellStyle name="未定义 2" xfId="644"/>
    <cellStyle name="样式 1" xfId="645"/>
    <cellStyle name="样式 1 2" xfId="646"/>
    <cellStyle name="样式 1 3" xfId="647"/>
    <cellStyle name="Followed Hyperlink" xfId="648"/>
    <cellStyle name="注释" xfId="649"/>
    <cellStyle name="注释 2" xfId="650"/>
    <cellStyle name="注释 2 10" xfId="651"/>
    <cellStyle name="注释 2 10 2" xfId="652"/>
    <cellStyle name="注释 2 11" xfId="653"/>
    <cellStyle name="注释 2 11 2" xfId="654"/>
    <cellStyle name="注释 2 12" xfId="655"/>
    <cellStyle name="注释 2 12 2" xfId="656"/>
    <cellStyle name="注释 2 13" xfId="657"/>
    <cellStyle name="注释 2 2" xfId="658"/>
    <cellStyle name="注释 2 2 2" xfId="659"/>
    <cellStyle name="注释 2 3" xfId="660"/>
    <cellStyle name="注释 2 3 2" xfId="661"/>
    <cellStyle name="注释 2 4" xfId="662"/>
    <cellStyle name="注释 2 4 2" xfId="663"/>
    <cellStyle name="注释 2 5" xfId="664"/>
    <cellStyle name="注释 2 5 2" xfId="665"/>
    <cellStyle name="注释 2 6" xfId="666"/>
    <cellStyle name="注释 2 6 2" xfId="667"/>
    <cellStyle name="注释 2 7" xfId="668"/>
    <cellStyle name="注释 2 7 2" xfId="669"/>
    <cellStyle name="注释 2 8" xfId="670"/>
    <cellStyle name="注释 2 8 2" xfId="671"/>
    <cellStyle name="注释 2 9" xfId="672"/>
    <cellStyle name="注释 2 9 2" xfId="673"/>
    <cellStyle name="注释 3" xfId="674"/>
    <cellStyle name="注释 3 2" xfId="675"/>
    <cellStyle name="注释 3 3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O16" sqref="O16"/>
    </sheetView>
  </sheetViews>
  <sheetFormatPr defaultColWidth="9.33203125" defaultRowHeight="11.25"/>
  <cols>
    <col min="3" max="3" width="26" style="0" bestFit="1" customWidth="1"/>
  </cols>
  <sheetData>
    <row r="1" spans="1:9" s="73" customFormat="1" ht="47.25" customHeight="1">
      <c r="A1" s="74" t="s">
        <v>629</v>
      </c>
      <c r="B1" s="74"/>
      <c r="C1" s="74"/>
      <c r="D1" s="74"/>
      <c r="E1" s="74"/>
      <c r="F1" s="74"/>
      <c r="G1" s="74"/>
      <c r="H1" s="74"/>
      <c r="I1" s="74"/>
    </row>
    <row r="2" s="73" customFormat="1" ht="30" customHeight="1"/>
    <row r="3" spans="2:9" s="73" customFormat="1" ht="27.75" customHeight="1">
      <c r="B3" s="75"/>
      <c r="C3" s="75" t="s">
        <v>547</v>
      </c>
      <c r="D3" s="75"/>
      <c r="E3" s="75"/>
      <c r="F3" s="75"/>
      <c r="G3" s="75"/>
      <c r="H3" s="75"/>
      <c r="I3" s="75"/>
    </row>
    <row r="4" spans="1:9" s="73" customFormat="1" ht="27.75" customHeight="1">
      <c r="A4" s="76"/>
      <c r="B4" s="76"/>
      <c r="C4" s="188" t="s">
        <v>548</v>
      </c>
      <c r="D4" s="188"/>
      <c r="E4" s="188"/>
      <c r="F4" s="188"/>
      <c r="G4" s="188"/>
      <c r="H4" s="188"/>
      <c r="I4" s="188"/>
    </row>
    <row r="5" spans="1:9" s="73" customFormat="1" ht="27.75" customHeight="1">
      <c r="A5" s="76"/>
      <c r="B5" s="76"/>
      <c r="C5" s="188" t="s">
        <v>549</v>
      </c>
      <c r="D5" s="188"/>
      <c r="E5" s="188"/>
      <c r="F5" s="188"/>
      <c r="G5" s="188"/>
      <c r="H5" s="188"/>
      <c r="I5" s="188"/>
    </row>
    <row r="6" spans="1:9" s="73" customFormat="1" ht="27.75" customHeight="1">
      <c r="A6" s="76"/>
      <c r="B6" s="76"/>
      <c r="C6" s="188" t="s">
        <v>550</v>
      </c>
      <c r="D6" s="188"/>
      <c r="E6" s="188"/>
      <c r="F6" s="188"/>
      <c r="G6" s="188"/>
      <c r="H6" s="188"/>
      <c r="I6" s="188"/>
    </row>
    <row r="7" spans="1:9" s="73" customFormat="1" ht="27.75" customHeight="1">
      <c r="A7" s="76"/>
      <c r="B7" s="76"/>
      <c r="C7" s="77" t="s">
        <v>551</v>
      </c>
      <c r="D7" s="77"/>
      <c r="E7" s="77"/>
      <c r="F7" s="77"/>
      <c r="G7" s="77"/>
      <c r="H7" s="77"/>
      <c r="I7" s="77"/>
    </row>
    <row r="8" spans="1:9" s="73" customFormat="1" ht="27.75" customHeight="1">
      <c r="A8" s="76"/>
      <c r="B8" s="76"/>
      <c r="C8" s="77" t="s">
        <v>552</v>
      </c>
      <c r="D8" s="77"/>
      <c r="E8" s="77"/>
      <c r="F8" s="77"/>
      <c r="G8" s="77"/>
      <c r="H8" s="77"/>
      <c r="I8" s="77"/>
    </row>
    <row r="9" spans="1:9" s="73" customFormat="1" ht="27.75" customHeight="1">
      <c r="A9" s="76"/>
      <c r="B9" s="76"/>
      <c r="C9" s="75" t="s">
        <v>553</v>
      </c>
      <c r="D9" s="76"/>
      <c r="E9" s="76"/>
      <c r="F9" s="76"/>
      <c r="G9" s="76"/>
      <c r="H9" s="76"/>
      <c r="I9" s="76"/>
    </row>
    <row r="10" spans="1:9" s="73" customFormat="1" ht="27.75" customHeight="1">
      <c r="A10" s="76"/>
      <c r="B10" s="76"/>
      <c r="C10" s="75" t="s">
        <v>626</v>
      </c>
      <c r="D10" s="75"/>
      <c r="E10" s="75"/>
      <c r="F10" s="75"/>
      <c r="G10" s="75"/>
      <c r="H10" s="75"/>
      <c r="I10" s="75"/>
    </row>
    <row r="11" ht="27.75" customHeight="1">
      <c r="C11" s="75" t="s">
        <v>627</v>
      </c>
    </row>
    <row r="12" ht="27.75" customHeight="1">
      <c r="C12" s="75" t="s">
        <v>631</v>
      </c>
    </row>
    <row r="13" ht="27.75" customHeight="1">
      <c r="C13" s="75" t="s">
        <v>630</v>
      </c>
    </row>
    <row r="14" ht="26.25" customHeight="1">
      <c r="C14" s="92" t="s">
        <v>628</v>
      </c>
    </row>
    <row r="16" spans="3:7" ht="18.75">
      <c r="C16" s="75"/>
      <c r="D16" s="75"/>
      <c r="E16" s="75"/>
      <c r="F16" s="75"/>
      <c r="G16" s="75"/>
    </row>
  </sheetData>
  <sheetProtection/>
  <mergeCells count="3">
    <mergeCell ref="C4:I4"/>
    <mergeCell ref="C5:I5"/>
    <mergeCell ref="C6:I6"/>
  </mergeCells>
  <printOptions horizontalCentered="1"/>
  <pageMargins left="0.75" right="0.75" top="0.57" bottom="0.72" header="0.46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zoomScalePageLayoutView="0" workbookViewId="0" topLeftCell="A1">
      <pane xSplit="4" ySplit="6" topLeftCell="E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F37"/>
    </sheetView>
  </sheetViews>
  <sheetFormatPr defaultColWidth="9.33203125" defaultRowHeight="11.25"/>
  <cols>
    <col min="1" max="1" width="32.66015625" style="66" customWidth="1"/>
    <col min="2" max="3" width="15" style="67" customWidth="1"/>
    <col min="4" max="4" width="15.66015625" style="67" customWidth="1"/>
    <col min="5" max="5" width="20.33203125" style="68" customWidth="1"/>
    <col min="6" max="6" width="20" style="68" customWidth="1"/>
    <col min="7" max="30" width="12" style="68" customWidth="1"/>
    <col min="31" max="16384" width="9.33203125" style="68" customWidth="1"/>
  </cols>
  <sheetData>
    <row r="1" spans="1:6" ht="20.25" customHeight="1">
      <c r="A1" s="189" t="s">
        <v>554</v>
      </c>
      <c r="B1" s="189"/>
      <c r="C1" s="189"/>
      <c r="D1" s="189"/>
      <c r="E1" s="189"/>
      <c r="F1" s="190"/>
    </row>
    <row r="2" spans="1:6" ht="12.75" customHeight="1" thickBot="1">
      <c r="A2" s="69"/>
      <c r="B2" s="98"/>
      <c r="C2" s="98"/>
      <c r="D2" s="99" t="s">
        <v>0</v>
      </c>
      <c r="E2" s="70"/>
      <c r="F2" s="70" t="s">
        <v>1</v>
      </c>
    </row>
    <row r="3" spans="1:6" ht="13.5" customHeight="1">
      <c r="A3" s="196" t="s">
        <v>2</v>
      </c>
      <c r="B3" s="191" t="s">
        <v>567</v>
      </c>
      <c r="C3" s="191" t="s">
        <v>568</v>
      </c>
      <c r="D3" s="191" t="s">
        <v>569</v>
      </c>
      <c r="E3" s="191" t="s">
        <v>575</v>
      </c>
      <c r="F3" s="193" t="s">
        <v>622</v>
      </c>
    </row>
    <row r="4" spans="1:6" ht="13.5" customHeight="1">
      <c r="A4" s="197"/>
      <c r="B4" s="192"/>
      <c r="C4" s="192"/>
      <c r="D4" s="192"/>
      <c r="E4" s="192"/>
      <c r="F4" s="194" t="s">
        <v>4</v>
      </c>
    </row>
    <row r="5" spans="1:6" ht="19.5" customHeight="1">
      <c r="A5" s="93" t="s">
        <v>5</v>
      </c>
      <c r="B5" s="71">
        <f>B6+B25</f>
        <v>36643</v>
      </c>
      <c r="C5" s="71">
        <f>C6+C25</f>
        <v>39000</v>
      </c>
      <c r="D5" s="71">
        <f>D6+D25</f>
        <v>38721</v>
      </c>
      <c r="E5" s="101">
        <f>(D5-B5)/B5*100</f>
        <v>5.670933056791202</v>
      </c>
      <c r="F5" s="105">
        <f>D5/C5*100</f>
        <v>99.28461538461538</v>
      </c>
    </row>
    <row r="6" spans="1:6" ht="19.5" customHeight="1">
      <c r="A6" s="93" t="s">
        <v>6</v>
      </c>
      <c r="B6" s="71">
        <f>B7+B8+B9+B12+B15+B16+B17+B18+B19+B20+B21+B22+B23+B24</f>
        <v>27566</v>
      </c>
      <c r="C6" s="71">
        <f>C7+C8+C9+C12+C15+C16+C17+C18+C19+C20+C21+C22+C23+C24</f>
        <v>28070</v>
      </c>
      <c r="D6" s="71">
        <f>D7+D8+D9+D12+D15+D16+D17+D18+D19+D20+D21+D22+D23+D24</f>
        <v>29459</v>
      </c>
      <c r="E6" s="101">
        <f aca="true" t="shared" si="0" ref="E6:E37">(D6-B6)/B6*100</f>
        <v>6.867155191177537</v>
      </c>
      <c r="F6" s="105">
        <f aca="true" t="shared" si="1" ref="F6:F37">D6/C6*100</f>
        <v>104.94834342714643</v>
      </c>
    </row>
    <row r="7" spans="1:6" ht="19.5" customHeight="1">
      <c r="A7" s="94" t="s">
        <v>562</v>
      </c>
      <c r="B7" s="72">
        <v>12088</v>
      </c>
      <c r="C7" s="72">
        <v>15435</v>
      </c>
      <c r="D7" s="100">
        <v>16815</v>
      </c>
      <c r="E7" s="101">
        <f t="shared" si="0"/>
        <v>39.10489741892786</v>
      </c>
      <c r="F7" s="105">
        <f t="shared" si="1"/>
        <v>108.94071914480077</v>
      </c>
    </row>
    <row r="8" spans="1:6" ht="19.5" customHeight="1">
      <c r="A8" s="94" t="s">
        <v>7</v>
      </c>
      <c r="B8" s="72">
        <v>5157</v>
      </c>
      <c r="C8" s="72">
        <v>73</v>
      </c>
      <c r="D8" s="100">
        <v>73</v>
      </c>
      <c r="E8" s="101">
        <f t="shared" si="0"/>
        <v>-98.58444832266822</v>
      </c>
      <c r="F8" s="105">
        <f t="shared" si="1"/>
        <v>100</v>
      </c>
    </row>
    <row r="9" spans="1:6" ht="19.5" customHeight="1">
      <c r="A9" s="94" t="s">
        <v>8</v>
      </c>
      <c r="B9" s="72">
        <f>SUM(B10:B11)</f>
        <v>2634</v>
      </c>
      <c r="C9" s="72">
        <f>SUM(C10:C11)</f>
        <v>3440</v>
      </c>
      <c r="D9" s="72">
        <f>SUM(D10:D11)</f>
        <v>3324</v>
      </c>
      <c r="E9" s="101">
        <f t="shared" si="0"/>
        <v>26.195899772209568</v>
      </c>
      <c r="F9" s="105">
        <f t="shared" si="1"/>
        <v>96.62790697674419</v>
      </c>
    </row>
    <row r="10" spans="1:6" ht="19.5" customHeight="1">
      <c r="A10" s="94" t="s">
        <v>9</v>
      </c>
      <c r="B10" s="72">
        <v>1529</v>
      </c>
      <c r="C10" s="72">
        <v>2640</v>
      </c>
      <c r="D10" s="100">
        <v>2619</v>
      </c>
      <c r="E10" s="101">
        <f t="shared" si="0"/>
        <v>71.28842380640941</v>
      </c>
      <c r="F10" s="105">
        <f t="shared" si="1"/>
        <v>99.20454545454545</v>
      </c>
    </row>
    <row r="11" spans="1:6" ht="19.5" customHeight="1">
      <c r="A11" s="94" t="s">
        <v>10</v>
      </c>
      <c r="B11" s="72">
        <v>1105</v>
      </c>
      <c r="C11" s="72">
        <v>800</v>
      </c>
      <c r="D11" s="100">
        <v>705</v>
      </c>
      <c r="E11" s="101">
        <f t="shared" si="0"/>
        <v>-36.199095022624434</v>
      </c>
      <c r="F11" s="105">
        <f t="shared" si="1"/>
        <v>88.125</v>
      </c>
    </row>
    <row r="12" spans="1:6" ht="19.5" customHeight="1">
      <c r="A12" s="94" t="s">
        <v>11</v>
      </c>
      <c r="B12" s="72">
        <f>SUM(B13:B14)</f>
        <v>1031</v>
      </c>
      <c r="C12" s="72">
        <f>SUM(C13:C14)</f>
        <v>680</v>
      </c>
      <c r="D12" s="72">
        <f>SUM(D13:D14)</f>
        <v>720</v>
      </c>
      <c r="E12" s="101">
        <f t="shared" si="0"/>
        <v>-30.164888457807955</v>
      </c>
      <c r="F12" s="105">
        <f t="shared" si="1"/>
        <v>105.88235294117648</v>
      </c>
    </row>
    <row r="13" spans="1:6" ht="19.5" customHeight="1">
      <c r="A13" s="94" t="s">
        <v>563</v>
      </c>
      <c r="B13" s="72"/>
      <c r="C13" s="72"/>
      <c r="D13" s="72"/>
      <c r="E13" s="101"/>
      <c r="F13" s="105"/>
    </row>
    <row r="14" spans="1:6" ht="19.5" customHeight="1">
      <c r="A14" s="94" t="s">
        <v>564</v>
      </c>
      <c r="B14" s="72">
        <v>1031</v>
      </c>
      <c r="C14" s="72">
        <v>680</v>
      </c>
      <c r="D14" s="100">
        <v>720</v>
      </c>
      <c r="E14" s="101">
        <f t="shared" si="0"/>
        <v>-30.164888457807955</v>
      </c>
      <c r="F14" s="105">
        <f t="shared" si="1"/>
        <v>105.88235294117648</v>
      </c>
    </row>
    <row r="15" spans="1:6" ht="19.5" customHeight="1">
      <c r="A15" s="94" t="s">
        <v>12</v>
      </c>
      <c r="B15" s="72">
        <v>333</v>
      </c>
      <c r="C15" s="72">
        <v>530</v>
      </c>
      <c r="D15" s="100">
        <v>562</v>
      </c>
      <c r="E15" s="101">
        <f t="shared" si="0"/>
        <v>68.76876876876878</v>
      </c>
      <c r="F15" s="105">
        <f t="shared" si="1"/>
        <v>106.0377358490566</v>
      </c>
    </row>
    <row r="16" spans="1:6" ht="19.5" customHeight="1">
      <c r="A16" s="94" t="s">
        <v>13</v>
      </c>
      <c r="B16" s="72">
        <v>1077</v>
      </c>
      <c r="C16" s="72">
        <v>1200</v>
      </c>
      <c r="D16" s="100">
        <v>1236</v>
      </c>
      <c r="E16" s="101">
        <f t="shared" si="0"/>
        <v>14.763231197771587</v>
      </c>
      <c r="F16" s="105">
        <f t="shared" si="1"/>
        <v>103</v>
      </c>
    </row>
    <row r="17" spans="1:6" ht="19.5" customHeight="1">
      <c r="A17" s="94" t="s">
        <v>14</v>
      </c>
      <c r="B17" s="100">
        <v>976</v>
      </c>
      <c r="C17" s="100">
        <v>1130</v>
      </c>
      <c r="D17" s="100">
        <v>1149</v>
      </c>
      <c r="E17" s="101">
        <f t="shared" si="0"/>
        <v>17.725409836065573</v>
      </c>
      <c r="F17" s="105">
        <f t="shared" si="1"/>
        <v>101.68141592920354</v>
      </c>
    </row>
    <row r="18" spans="1:6" ht="19.5" customHeight="1">
      <c r="A18" s="94" t="s">
        <v>15</v>
      </c>
      <c r="B18" s="100">
        <v>519</v>
      </c>
      <c r="C18" s="100">
        <v>920</v>
      </c>
      <c r="D18" s="100">
        <v>1114</v>
      </c>
      <c r="E18" s="101">
        <f t="shared" si="0"/>
        <v>114.64354527938343</v>
      </c>
      <c r="F18" s="105">
        <f t="shared" si="1"/>
        <v>121.08695652173913</v>
      </c>
    </row>
    <row r="19" spans="1:6" ht="19.5" customHeight="1">
      <c r="A19" s="94" t="s">
        <v>16</v>
      </c>
      <c r="B19" s="100">
        <v>761</v>
      </c>
      <c r="C19" s="100">
        <v>1240</v>
      </c>
      <c r="D19" s="100">
        <v>1301</v>
      </c>
      <c r="E19" s="101">
        <f t="shared" si="0"/>
        <v>70.9592641261498</v>
      </c>
      <c r="F19" s="105">
        <f t="shared" si="1"/>
        <v>104.91935483870967</v>
      </c>
    </row>
    <row r="20" spans="1:6" ht="19.5" customHeight="1">
      <c r="A20" s="94" t="s">
        <v>17</v>
      </c>
      <c r="B20" s="100">
        <v>612</v>
      </c>
      <c r="C20" s="100">
        <v>490</v>
      </c>
      <c r="D20" s="100">
        <v>411</v>
      </c>
      <c r="E20" s="101">
        <f t="shared" si="0"/>
        <v>-32.84313725490196</v>
      </c>
      <c r="F20" s="105">
        <f t="shared" si="1"/>
        <v>83.87755102040816</v>
      </c>
    </row>
    <row r="21" spans="1:6" ht="19.5" customHeight="1">
      <c r="A21" s="94" t="s">
        <v>18</v>
      </c>
      <c r="B21" s="100">
        <v>665</v>
      </c>
      <c r="C21" s="100">
        <v>720</v>
      </c>
      <c r="D21" s="100">
        <v>717</v>
      </c>
      <c r="E21" s="101">
        <f t="shared" si="0"/>
        <v>7.819548872180452</v>
      </c>
      <c r="F21" s="105">
        <f t="shared" si="1"/>
        <v>99.58333333333333</v>
      </c>
    </row>
    <row r="22" spans="1:6" ht="19.5" customHeight="1">
      <c r="A22" s="94" t="s">
        <v>19</v>
      </c>
      <c r="B22" s="100">
        <v>412</v>
      </c>
      <c r="C22" s="100">
        <v>232</v>
      </c>
      <c r="D22" s="100">
        <v>152</v>
      </c>
      <c r="E22" s="101">
        <f t="shared" si="0"/>
        <v>-63.10679611650486</v>
      </c>
      <c r="F22" s="105">
        <f t="shared" si="1"/>
        <v>65.51724137931035</v>
      </c>
    </row>
    <row r="23" spans="1:6" ht="19.5" customHeight="1">
      <c r="A23" s="94" t="s">
        <v>20</v>
      </c>
      <c r="B23" s="100">
        <v>1301</v>
      </c>
      <c r="C23" s="100">
        <v>1980</v>
      </c>
      <c r="D23" s="100">
        <v>1885</v>
      </c>
      <c r="E23" s="101">
        <f t="shared" si="0"/>
        <v>44.88854727132975</v>
      </c>
      <c r="F23" s="105">
        <f t="shared" si="1"/>
        <v>95.2020202020202</v>
      </c>
    </row>
    <row r="24" spans="1:6" ht="19.5" customHeight="1">
      <c r="A24" s="95" t="s">
        <v>21</v>
      </c>
      <c r="B24" s="72"/>
      <c r="C24" s="72"/>
      <c r="D24" s="72"/>
      <c r="E24" s="101"/>
      <c r="F24" s="105"/>
    </row>
    <row r="25" spans="1:6" ht="19.5" customHeight="1">
      <c r="A25" s="93" t="s">
        <v>22</v>
      </c>
      <c r="B25" s="71">
        <f>B26+B35+B36+B37</f>
        <v>9077</v>
      </c>
      <c r="C25" s="71">
        <f>C26+C35+C36+C37</f>
        <v>10930</v>
      </c>
      <c r="D25" s="71">
        <f>D26+D35+D36+D37</f>
        <v>9262</v>
      </c>
      <c r="E25" s="101">
        <f t="shared" si="0"/>
        <v>2.0381183210311775</v>
      </c>
      <c r="F25" s="105">
        <f t="shared" si="1"/>
        <v>84.73924977127173</v>
      </c>
    </row>
    <row r="26" spans="1:6" ht="19.5" customHeight="1">
      <c r="A26" s="94" t="s">
        <v>23</v>
      </c>
      <c r="B26" s="72">
        <f>B27+B28+B29+B31+B30+B32+B33+B34</f>
        <v>1710</v>
      </c>
      <c r="C26" s="72">
        <f>C27+C28+C29+C31+C30+C32+C33+C34</f>
        <v>1515</v>
      </c>
      <c r="D26" s="72">
        <f>D27+D28+D29+D31+D30+D32+D33+D34</f>
        <v>1597</v>
      </c>
      <c r="E26" s="101">
        <f t="shared" si="0"/>
        <v>-6.608187134502924</v>
      </c>
      <c r="F26" s="105">
        <f t="shared" si="1"/>
        <v>105.4125412541254</v>
      </c>
    </row>
    <row r="27" spans="1:6" ht="19.5" customHeight="1">
      <c r="A27" s="94" t="s">
        <v>24</v>
      </c>
      <c r="B27" s="100">
        <v>63</v>
      </c>
      <c r="C27" s="100"/>
      <c r="D27" s="100"/>
      <c r="E27" s="101">
        <f t="shared" si="0"/>
        <v>-100</v>
      </c>
      <c r="F27" s="105"/>
    </row>
    <row r="28" spans="1:6" ht="19.5" customHeight="1">
      <c r="A28" s="94" t="s">
        <v>25</v>
      </c>
      <c r="B28" s="100">
        <v>66</v>
      </c>
      <c r="C28" s="100"/>
      <c r="D28" s="100"/>
      <c r="E28" s="101">
        <f t="shared" si="0"/>
        <v>-100</v>
      </c>
      <c r="F28" s="105"/>
    </row>
    <row r="29" spans="1:6" ht="19.5" customHeight="1">
      <c r="A29" s="94" t="s">
        <v>26</v>
      </c>
      <c r="B29" s="100">
        <v>829</v>
      </c>
      <c r="C29" s="100">
        <v>830</v>
      </c>
      <c r="D29" s="100">
        <v>943</v>
      </c>
      <c r="E29" s="101">
        <f t="shared" si="0"/>
        <v>13.751507840772014</v>
      </c>
      <c r="F29" s="105">
        <f t="shared" si="1"/>
        <v>113.61445783132531</v>
      </c>
    </row>
    <row r="30" spans="1:6" ht="19.5" customHeight="1">
      <c r="A30" s="96" t="s">
        <v>565</v>
      </c>
      <c r="B30" s="72">
        <v>497</v>
      </c>
      <c r="C30" s="72">
        <v>620</v>
      </c>
      <c r="D30" s="72">
        <v>566</v>
      </c>
      <c r="E30" s="101">
        <f t="shared" si="0"/>
        <v>13.883299798792756</v>
      </c>
      <c r="F30" s="105">
        <f t="shared" si="1"/>
        <v>91.29032258064517</v>
      </c>
    </row>
    <row r="31" spans="1:6" ht="19.5" customHeight="1">
      <c r="A31" s="96" t="s">
        <v>566</v>
      </c>
      <c r="B31" s="72">
        <v>87</v>
      </c>
      <c r="C31" s="72">
        <v>65</v>
      </c>
      <c r="D31" s="72">
        <v>88</v>
      </c>
      <c r="E31" s="101">
        <f t="shared" si="0"/>
        <v>1.1494252873563218</v>
      </c>
      <c r="F31" s="105">
        <f t="shared" si="1"/>
        <v>135.3846153846154</v>
      </c>
    </row>
    <row r="32" spans="1:6" ht="19.5" customHeight="1">
      <c r="A32" s="94" t="s">
        <v>623</v>
      </c>
      <c r="B32" s="72">
        <v>132</v>
      </c>
      <c r="C32" s="72"/>
      <c r="D32" s="72"/>
      <c r="E32" s="101">
        <f t="shared" si="0"/>
        <v>-100</v>
      </c>
      <c r="F32" s="105"/>
    </row>
    <row r="33" spans="1:6" ht="19.5" customHeight="1">
      <c r="A33" s="97" t="s">
        <v>624</v>
      </c>
      <c r="B33" s="72">
        <v>33</v>
      </c>
      <c r="C33" s="72"/>
      <c r="D33" s="72"/>
      <c r="E33" s="101">
        <f t="shared" si="0"/>
        <v>-100</v>
      </c>
      <c r="F33" s="105"/>
    </row>
    <row r="34" spans="1:6" ht="19.5" customHeight="1">
      <c r="A34" s="97" t="s">
        <v>625</v>
      </c>
      <c r="B34" s="72">
        <v>3</v>
      </c>
      <c r="C34" s="72"/>
      <c r="D34" s="72"/>
      <c r="E34" s="101">
        <f t="shared" si="0"/>
        <v>-100</v>
      </c>
      <c r="F34" s="105"/>
    </row>
    <row r="35" spans="1:6" ht="19.5" customHeight="1">
      <c r="A35" s="94" t="s">
        <v>27</v>
      </c>
      <c r="B35" s="72">
        <v>3500</v>
      </c>
      <c r="C35" s="72">
        <v>4314</v>
      </c>
      <c r="D35" s="72">
        <v>4442</v>
      </c>
      <c r="E35" s="101">
        <f t="shared" si="0"/>
        <v>26.91428571428571</v>
      </c>
      <c r="F35" s="105">
        <f t="shared" si="1"/>
        <v>102.9670839128419</v>
      </c>
    </row>
    <row r="36" spans="1:6" ht="19.5" customHeight="1">
      <c r="A36" s="94" t="s">
        <v>28</v>
      </c>
      <c r="B36" s="72">
        <v>2236</v>
      </c>
      <c r="C36" s="72">
        <v>1420</v>
      </c>
      <c r="D36" s="72">
        <v>1546</v>
      </c>
      <c r="E36" s="101">
        <f t="shared" si="0"/>
        <v>-30.85867620751342</v>
      </c>
      <c r="F36" s="105">
        <f t="shared" si="1"/>
        <v>108.87323943661973</v>
      </c>
    </row>
    <row r="37" spans="1:6" ht="22.5" customHeight="1" thickBot="1">
      <c r="A37" s="102" t="s">
        <v>29</v>
      </c>
      <c r="B37" s="103">
        <v>1631</v>
      </c>
      <c r="C37" s="103">
        <v>3681</v>
      </c>
      <c r="D37" s="103">
        <v>1677</v>
      </c>
      <c r="E37" s="104">
        <f t="shared" si="0"/>
        <v>2.8203556100551808</v>
      </c>
      <c r="F37" s="106">
        <f t="shared" si="1"/>
        <v>45.558272208638954</v>
      </c>
    </row>
    <row r="38" spans="1:5" ht="19.5" customHeight="1">
      <c r="A38" s="195"/>
      <c r="B38" s="195"/>
      <c r="C38" s="195"/>
      <c r="D38" s="195"/>
      <c r="E38" s="195"/>
    </row>
  </sheetData>
  <sheetProtection/>
  <mergeCells count="8">
    <mergeCell ref="A1:F1"/>
    <mergeCell ref="E3:E4"/>
    <mergeCell ref="F3:F4"/>
    <mergeCell ref="A38:E38"/>
    <mergeCell ref="A3:A4"/>
    <mergeCell ref="B3:B4"/>
    <mergeCell ref="D3:D4"/>
    <mergeCell ref="C3:C4"/>
  </mergeCells>
  <printOptions horizontalCentered="1" verticalCentered="1"/>
  <pageMargins left="0.52" right="0.31" top="0.36" bottom="0.32" header="0.19" footer="0.2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521"/>
  <sheetViews>
    <sheetView showZeros="0" tabSelected="1" zoomScalePageLayoutView="0" workbookViewId="0" topLeftCell="A1">
      <selection activeCell="S12" sqref="S12"/>
    </sheetView>
  </sheetViews>
  <sheetFormatPr defaultColWidth="9.16015625" defaultRowHeight="12.75" customHeight="1"/>
  <cols>
    <col min="1" max="1" width="36.16015625" style="49" customWidth="1"/>
    <col min="2" max="3" width="18.33203125" style="25" customWidth="1"/>
    <col min="4" max="4" width="17.66015625" style="25" customWidth="1"/>
    <col min="5" max="5" width="21.83203125" style="25" customWidth="1"/>
    <col min="6" max="6" width="20.66015625" style="25" customWidth="1"/>
    <col min="7" max="7" width="6.66015625" style="25" hidden="1" customWidth="1"/>
    <col min="8" max="147" width="6.66015625" style="25" customWidth="1"/>
    <col min="148" max="203" width="9.16015625" style="25" customWidth="1"/>
    <col min="204" max="16384" width="9.16015625" style="25" customWidth="1"/>
  </cols>
  <sheetData>
    <row r="1" spans="1:147" ht="32.25" customHeight="1">
      <c r="A1" s="198" t="s">
        <v>556</v>
      </c>
      <c r="B1" s="198"/>
      <c r="C1" s="198"/>
      <c r="D1" s="198"/>
      <c r="E1" s="198"/>
      <c r="F1" s="19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</row>
    <row r="2" spans="1:147" ht="17.25" customHeight="1" thickBot="1">
      <c r="A2" s="50"/>
      <c r="B2" s="51"/>
      <c r="C2" s="51"/>
      <c r="D2" s="51"/>
      <c r="E2" s="52"/>
      <c r="F2" s="107" t="s">
        <v>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</row>
    <row r="3" spans="1:203" s="47" customFormat="1" ht="25.5" customHeight="1">
      <c r="A3" s="202" t="s">
        <v>30</v>
      </c>
      <c r="B3" s="204" t="s">
        <v>31</v>
      </c>
      <c r="C3" s="204" t="s">
        <v>570</v>
      </c>
      <c r="D3" s="200" t="s">
        <v>555</v>
      </c>
      <c r="E3" s="200" t="s">
        <v>576</v>
      </c>
      <c r="F3" s="193" t="s">
        <v>620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GU3" s="56"/>
    </row>
    <row r="4" spans="1:203" s="47" customFormat="1" ht="25.5" customHeight="1">
      <c r="A4" s="203"/>
      <c r="B4" s="205"/>
      <c r="C4" s="201"/>
      <c r="D4" s="201"/>
      <c r="E4" s="201"/>
      <c r="F4" s="194" t="s">
        <v>4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GU4" s="56"/>
    </row>
    <row r="5" spans="1:203" ht="20.25" customHeight="1">
      <c r="A5" s="54" t="s">
        <v>32</v>
      </c>
      <c r="B5" s="110">
        <f>B6+B105+B109+B136+B159+B173+B195+B266+B307+B333+B349+B436+B449+B466+B477+B493+B502+B512+B515+B519</f>
        <v>188224</v>
      </c>
      <c r="C5" s="110">
        <f>C6+C105+C109+C136+C159+C173+C195+C266+C307+C333+C349+C436+C449+C466+C477+C493+C502+C512+C515+C519</f>
        <v>201519</v>
      </c>
      <c r="D5" s="110">
        <f>D6+D105+D109+D136+D159+D173+D195+D266+D307+D333+D349+D436+D449+D466+D477+D493+D502+D512+D515+D519</f>
        <v>205860</v>
      </c>
      <c r="E5" s="111">
        <f>(D5-B5)/B5*100</f>
        <v>9.369687181230873</v>
      </c>
      <c r="F5" s="108">
        <f>D5/C5*100</f>
        <v>102.15413931192592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GU5" s="57"/>
    </row>
    <row r="6" spans="1:203" ht="20.25" customHeight="1">
      <c r="A6" s="114" t="s">
        <v>33</v>
      </c>
      <c r="B6" s="112">
        <f>B7+B13+B19+B24+B31+B36+B42+B45+B50+B56+B60+B66+B73+B76+B80+B83+B86+B90+B93+B98+B102</f>
        <v>11870</v>
      </c>
      <c r="C6" s="112">
        <f>C7+C13+C19+C24+C31+C36+C42+C45+C50+C56+C60+C66+C73+C76+C80+C83+C86+C90+C93+C98+C102</f>
        <v>9660</v>
      </c>
      <c r="D6" s="112">
        <f>D7+D13+D19+D24+D31+D36+D42+D45+D50+D56+D60+D66+D73+D76+D80+D83+D86+D90+D93+D98+D102</f>
        <v>11963</v>
      </c>
      <c r="E6" s="111">
        <f aca="true" t="shared" si="0" ref="E6:E68">(D6-B6)/B6*100</f>
        <v>0.7834877843302442</v>
      </c>
      <c r="F6" s="108">
        <f aca="true" t="shared" si="1" ref="F6:F68">D6/C6*100</f>
        <v>123.84057971014492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GU6" s="57"/>
    </row>
    <row r="7" spans="1:203" ht="20.25" customHeight="1">
      <c r="A7" s="114" t="s">
        <v>34</v>
      </c>
      <c r="B7" s="113">
        <f>SUM(B8:B12)</f>
        <v>243</v>
      </c>
      <c r="C7" s="113">
        <f>SUM(C8:C12)</f>
        <v>311</v>
      </c>
      <c r="D7" s="113">
        <f>SUM(D8:D12)</f>
        <v>312</v>
      </c>
      <c r="E7" s="111">
        <f t="shared" si="0"/>
        <v>28.39506172839506</v>
      </c>
      <c r="F7" s="108">
        <f t="shared" si="1"/>
        <v>100.32154340836013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GU7" s="57"/>
    </row>
    <row r="8" spans="1:203" ht="20.25" customHeight="1">
      <c r="A8" s="114" t="s">
        <v>35</v>
      </c>
      <c r="B8" s="55">
        <v>178</v>
      </c>
      <c r="C8" s="55">
        <v>177</v>
      </c>
      <c r="D8" s="55">
        <v>177</v>
      </c>
      <c r="E8" s="111">
        <f t="shared" si="0"/>
        <v>-0.5617977528089888</v>
      </c>
      <c r="F8" s="108">
        <f t="shared" si="1"/>
        <v>100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GU8" s="57"/>
    </row>
    <row r="9" spans="1:203" ht="20.25" customHeight="1">
      <c r="A9" s="114" t="s">
        <v>36</v>
      </c>
      <c r="B9" s="55">
        <v>16</v>
      </c>
      <c r="C9" s="55">
        <v>90</v>
      </c>
      <c r="D9" s="55">
        <v>91</v>
      </c>
      <c r="E9" s="111">
        <f t="shared" si="0"/>
        <v>468.75</v>
      </c>
      <c r="F9" s="108">
        <f t="shared" si="1"/>
        <v>101.11111111111111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GU9" s="57"/>
    </row>
    <row r="10" spans="1:203" ht="20.25" customHeight="1">
      <c r="A10" s="114" t="s">
        <v>37</v>
      </c>
      <c r="B10" s="55">
        <v>20</v>
      </c>
      <c r="C10" s="55">
        <v>20</v>
      </c>
      <c r="D10" s="55">
        <v>20</v>
      </c>
      <c r="E10" s="111">
        <f t="shared" si="0"/>
        <v>0</v>
      </c>
      <c r="F10" s="108">
        <f t="shared" si="1"/>
        <v>100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GU10" s="57"/>
    </row>
    <row r="11" spans="1:203" ht="20.25" customHeight="1">
      <c r="A11" s="114" t="s">
        <v>38</v>
      </c>
      <c r="B11" s="55">
        <v>10</v>
      </c>
      <c r="C11" s="55">
        <v>5</v>
      </c>
      <c r="D11" s="55">
        <v>5</v>
      </c>
      <c r="E11" s="111">
        <f t="shared" si="0"/>
        <v>-50</v>
      </c>
      <c r="F11" s="108">
        <f t="shared" si="1"/>
        <v>100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GU11" s="57"/>
    </row>
    <row r="12" spans="1:203" ht="20.25" customHeight="1">
      <c r="A12" s="114" t="s">
        <v>39</v>
      </c>
      <c r="B12" s="55">
        <v>19</v>
      </c>
      <c r="C12" s="55">
        <v>19</v>
      </c>
      <c r="D12" s="55">
        <v>19</v>
      </c>
      <c r="E12" s="111">
        <f t="shared" si="0"/>
        <v>0</v>
      </c>
      <c r="F12" s="108">
        <f t="shared" si="1"/>
        <v>100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GU12" s="57"/>
    </row>
    <row r="13" spans="1:203" ht="20.25" customHeight="1">
      <c r="A13" s="114" t="s">
        <v>40</v>
      </c>
      <c r="B13" s="113">
        <f>SUM(B14:B18)</f>
        <v>164</v>
      </c>
      <c r="C13" s="113">
        <f>SUM(C14:C18)</f>
        <v>191</v>
      </c>
      <c r="D13" s="113">
        <f>SUM(D14:D18)</f>
        <v>174</v>
      </c>
      <c r="E13" s="111">
        <f t="shared" si="0"/>
        <v>6.097560975609756</v>
      </c>
      <c r="F13" s="108">
        <f t="shared" si="1"/>
        <v>91.09947643979058</v>
      </c>
      <c r="GU13" s="57"/>
    </row>
    <row r="14" spans="1:203" ht="23.25" customHeight="1">
      <c r="A14" s="114" t="s">
        <v>35</v>
      </c>
      <c r="B14" s="28">
        <v>111</v>
      </c>
      <c r="C14" s="28">
        <v>142</v>
      </c>
      <c r="D14" s="28">
        <v>121</v>
      </c>
      <c r="E14" s="111">
        <f t="shared" si="0"/>
        <v>9.00900900900901</v>
      </c>
      <c r="F14" s="108">
        <f t="shared" si="1"/>
        <v>85.2112676056338</v>
      </c>
      <c r="GU14" s="57"/>
    </row>
    <row r="15" spans="1:203" ht="23.25" customHeight="1">
      <c r="A15" s="114" t="s">
        <v>36</v>
      </c>
      <c r="B15" s="28">
        <v>7</v>
      </c>
      <c r="C15" s="28"/>
      <c r="D15" s="28">
        <v>4</v>
      </c>
      <c r="E15" s="111">
        <f t="shared" si="0"/>
        <v>-42.857142857142854</v>
      </c>
      <c r="F15" s="108"/>
      <c r="GU15" s="57"/>
    </row>
    <row r="16" spans="1:203" ht="20.25" customHeight="1">
      <c r="A16" s="114" t="s">
        <v>41</v>
      </c>
      <c r="B16" s="28">
        <v>20</v>
      </c>
      <c r="C16" s="28">
        <v>20</v>
      </c>
      <c r="D16" s="28">
        <v>20</v>
      </c>
      <c r="E16" s="111">
        <f t="shared" si="0"/>
        <v>0</v>
      </c>
      <c r="F16" s="108">
        <f t="shared" si="1"/>
        <v>100</v>
      </c>
      <c r="GU16" s="57"/>
    </row>
    <row r="17" spans="1:203" ht="20.25" customHeight="1">
      <c r="A17" s="114" t="s">
        <v>42</v>
      </c>
      <c r="B17" s="28">
        <v>20</v>
      </c>
      <c r="C17" s="28">
        <v>20</v>
      </c>
      <c r="D17" s="28">
        <v>20</v>
      </c>
      <c r="E17" s="111">
        <f t="shared" si="0"/>
        <v>0</v>
      </c>
      <c r="F17" s="108">
        <f t="shared" si="1"/>
        <v>100</v>
      </c>
      <c r="GU17" s="57"/>
    </row>
    <row r="18" spans="1:203" ht="20.25" customHeight="1">
      <c r="A18" s="114" t="s">
        <v>43</v>
      </c>
      <c r="B18" s="28">
        <v>6</v>
      </c>
      <c r="C18" s="28">
        <v>9</v>
      </c>
      <c r="D18" s="28">
        <v>9</v>
      </c>
      <c r="E18" s="111">
        <f t="shared" si="0"/>
        <v>50</v>
      </c>
      <c r="F18" s="108">
        <f t="shared" si="1"/>
        <v>100</v>
      </c>
      <c r="GU18" s="57"/>
    </row>
    <row r="19" spans="1:203" ht="20.25" customHeight="1">
      <c r="A19" s="114" t="s">
        <v>44</v>
      </c>
      <c r="B19" s="112">
        <f>SUM(B20:B23)</f>
        <v>3089</v>
      </c>
      <c r="C19" s="112">
        <f>SUM(C20:C23)</f>
        <v>2314</v>
      </c>
      <c r="D19" s="112">
        <f>SUM(D20:D23)</f>
        <v>3247</v>
      </c>
      <c r="E19" s="111">
        <f t="shared" si="0"/>
        <v>5.1149239235998705</v>
      </c>
      <c r="F19" s="108">
        <f t="shared" si="1"/>
        <v>140.31979256698358</v>
      </c>
      <c r="GU19" s="57"/>
    </row>
    <row r="20" spans="1:203" ht="20.25" customHeight="1">
      <c r="A20" s="114" t="s">
        <v>35</v>
      </c>
      <c r="B20" s="28">
        <v>2350</v>
      </c>
      <c r="C20" s="28">
        <v>1906</v>
      </c>
      <c r="D20" s="28">
        <v>2447</v>
      </c>
      <c r="E20" s="111">
        <f t="shared" si="0"/>
        <v>4.127659574468085</v>
      </c>
      <c r="F20" s="108">
        <f t="shared" si="1"/>
        <v>128.3840503672613</v>
      </c>
      <c r="GU20" s="57"/>
    </row>
    <row r="21" spans="1:203" ht="20.25" customHeight="1">
      <c r="A21" s="114" t="s">
        <v>36</v>
      </c>
      <c r="B21" s="28">
        <v>542</v>
      </c>
      <c r="C21" s="28">
        <v>270</v>
      </c>
      <c r="D21" s="28">
        <v>662</v>
      </c>
      <c r="E21" s="111">
        <f t="shared" si="0"/>
        <v>22.14022140221402</v>
      </c>
      <c r="F21" s="108">
        <f t="shared" si="1"/>
        <v>245.18518518518516</v>
      </c>
      <c r="GU21" s="57"/>
    </row>
    <row r="22" spans="1:203" ht="20.25" customHeight="1">
      <c r="A22" s="114" t="s">
        <v>45</v>
      </c>
      <c r="B22" s="28">
        <v>75</v>
      </c>
      <c r="C22" s="28">
        <v>18</v>
      </c>
      <c r="D22" s="28">
        <v>18</v>
      </c>
      <c r="E22" s="111">
        <f t="shared" si="0"/>
        <v>-76</v>
      </c>
      <c r="F22" s="108">
        <f t="shared" si="1"/>
        <v>100</v>
      </c>
      <c r="GU22" s="57"/>
    </row>
    <row r="23" spans="1:203" ht="20.25" customHeight="1">
      <c r="A23" s="114" t="s">
        <v>46</v>
      </c>
      <c r="B23" s="28">
        <v>122</v>
      </c>
      <c r="C23" s="28">
        <v>120</v>
      </c>
      <c r="D23" s="28">
        <v>120</v>
      </c>
      <c r="E23" s="111">
        <f t="shared" si="0"/>
        <v>-1.639344262295082</v>
      </c>
      <c r="F23" s="108">
        <f t="shared" si="1"/>
        <v>100</v>
      </c>
      <c r="GU23" s="57"/>
    </row>
    <row r="24" spans="1:203" ht="20.25" customHeight="1">
      <c r="A24" s="114" t="s">
        <v>47</v>
      </c>
      <c r="B24" s="113">
        <f>SUM(B25:B30)</f>
        <v>204</v>
      </c>
      <c r="C24" s="113">
        <f>SUM(C25:C30)</f>
        <v>223</v>
      </c>
      <c r="D24" s="113">
        <f>SUM(D25:D30)</f>
        <v>223</v>
      </c>
      <c r="E24" s="111">
        <f t="shared" si="0"/>
        <v>9.313725490196079</v>
      </c>
      <c r="F24" s="108">
        <f t="shared" si="1"/>
        <v>100</v>
      </c>
      <c r="GU24" s="57"/>
    </row>
    <row r="25" spans="1:203" ht="20.25" customHeight="1">
      <c r="A25" s="114" t="s">
        <v>35</v>
      </c>
      <c r="B25" s="28">
        <v>156</v>
      </c>
      <c r="C25" s="28">
        <v>147</v>
      </c>
      <c r="D25" s="28">
        <v>147</v>
      </c>
      <c r="E25" s="111">
        <f t="shared" si="0"/>
        <v>-5.769230769230769</v>
      </c>
      <c r="F25" s="108">
        <f t="shared" si="1"/>
        <v>100</v>
      </c>
      <c r="GU25" s="57"/>
    </row>
    <row r="26" spans="1:203" ht="20.25" customHeight="1">
      <c r="A26" s="114" t="s">
        <v>36</v>
      </c>
      <c r="B26" s="28">
        <v>15</v>
      </c>
      <c r="C26" s="28"/>
      <c r="D26" s="28"/>
      <c r="E26" s="111">
        <f t="shared" si="0"/>
        <v>-100</v>
      </c>
      <c r="F26" s="108"/>
      <c r="GU26" s="57"/>
    </row>
    <row r="27" spans="1:203" ht="20.25" customHeight="1">
      <c r="A27" s="114" t="s">
        <v>48</v>
      </c>
      <c r="B27" s="28"/>
      <c r="C27" s="28">
        <v>20</v>
      </c>
      <c r="D27" s="28">
        <v>20</v>
      </c>
      <c r="E27" s="111"/>
      <c r="F27" s="108">
        <f t="shared" si="1"/>
        <v>100</v>
      </c>
      <c r="GU27" s="57"/>
    </row>
    <row r="28" spans="1:203" ht="20.25" customHeight="1">
      <c r="A28" s="114" t="s">
        <v>49</v>
      </c>
      <c r="B28" s="28">
        <v>7</v>
      </c>
      <c r="C28" s="28">
        <v>10</v>
      </c>
      <c r="D28" s="28">
        <v>10</v>
      </c>
      <c r="E28" s="111">
        <f t="shared" si="0"/>
        <v>42.857142857142854</v>
      </c>
      <c r="F28" s="108">
        <f t="shared" si="1"/>
        <v>100</v>
      </c>
      <c r="GU28" s="57"/>
    </row>
    <row r="29" spans="1:203" ht="20.25" customHeight="1">
      <c r="A29" s="114" t="s">
        <v>46</v>
      </c>
      <c r="B29" s="28">
        <v>16</v>
      </c>
      <c r="C29" s="28">
        <v>16</v>
      </c>
      <c r="D29" s="28">
        <v>16</v>
      </c>
      <c r="E29" s="111">
        <f t="shared" si="0"/>
        <v>0</v>
      </c>
      <c r="F29" s="108">
        <f t="shared" si="1"/>
        <v>100</v>
      </c>
      <c r="GU29" s="57"/>
    </row>
    <row r="30" spans="1:203" ht="20.25" customHeight="1">
      <c r="A30" s="114" t="s">
        <v>50</v>
      </c>
      <c r="B30" s="28">
        <v>10</v>
      </c>
      <c r="C30" s="28">
        <v>30</v>
      </c>
      <c r="D30" s="28">
        <v>30</v>
      </c>
      <c r="E30" s="111">
        <f t="shared" si="0"/>
        <v>200</v>
      </c>
      <c r="F30" s="108">
        <f t="shared" si="1"/>
        <v>100</v>
      </c>
      <c r="GU30" s="57"/>
    </row>
    <row r="31" spans="1:203" ht="20.25" customHeight="1">
      <c r="A31" s="114" t="s">
        <v>51</v>
      </c>
      <c r="B31" s="113">
        <f>SUM(B32:B35)</f>
        <v>126</v>
      </c>
      <c r="C31" s="113">
        <f>SUM(C32:C35)</f>
        <v>164</v>
      </c>
      <c r="D31" s="113">
        <f>SUM(D32:D35)</f>
        <v>164</v>
      </c>
      <c r="E31" s="111">
        <f t="shared" si="0"/>
        <v>30.158730158730158</v>
      </c>
      <c r="F31" s="108">
        <f t="shared" si="1"/>
        <v>100</v>
      </c>
      <c r="GU31" s="57"/>
    </row>
    <row r="32" spans="1:203" ht="20.25" customHeight="1">
      <c r="A32" s="114" t="s">
        <v>35</v>
      </c>
      <c r="B32" s="28">
        <v>73</v>
      </c>
      <c r="C32" s="28">
        <v>60</v>
      </c>
      <c r="D32" s="28">
        <v>60</v>
      </c>
      <c r="E32" s="111">
        <f t="shared" si="0"/>
        <v>-17.80821917808219</v>
      </c>
      <c r="F32" s="108">
        <f t="shared" si="1"/>
        <v>100</v>
      </c>
      <c r="GU32" s="57"/>
    </row>
    <row r="33" spans="1:203" ht="20.25" customHeight="1">
      <c r="A33" s="114" t="s">
        <v>36</v>
      </c>
      <c r="B33" s="28">
        <v>1</v>
      </c>
      <c r="C33" s="28"/>
      <c r="D33" s="28"/>
      <c r="E33" s="111">
        <f t="shared" si="0"/>
        <v>-100</v>
      </c>
      <c r="F33" s="108"/>
      <c r="GU33" s="57"/>
    </row>
    <row r="34" spans="1:203" ht="20.25" customHeight="1">
      <c r="A34" s="114" t="s">
        <v>52</v>
      </c>
      <c r="B34" s="28">
        <v>35</v>
      </c>
      <c r="C34" s="28">
        <v>88</v>
      </c>
      <c r="D34" s="28">
        <v>88</v>
      </c>
      <c r="E34" s="111">
        <f t="shared" si="0"/>
        <v>151.42857142857142</v>
      </c>
      <c r="F34" s="108">
        <f t="shared" si="1"/>
        <v>100</v>
      </c>
      <c r="GU34" s="57"/>
    </row>
    <row r="35" spans="1:203" ht="20.25" customHeight="1">
      <c r="A35" s="114" t="s">
        <v>46</v>
      </c>
      <c r="B35" s="28">
        <v>17</v>
      </c>
      <c r="C35" s="28">
        <v>16</v>
      </c>
      <c r="D35" s="28">
        <v>16</v>
      </c>
      <c r="E35" s="111">
        <f t="shared" si="0"/>
        <v>-5.88235294117647</v>
      </c>
      <c r="F35" s="108">
        <f t="shared" si="1"/>
        <v>100</v>
      </c>
      <c r="GU35" s="57"/>
    </row>
    <row r="36" spans="1:203" ht="20.25" customHeight="1">
      <c r="A36" s="114" t="s">
        <v>53</v>
      </c>
      <c r="B36" s="113">
        <f>SUM(B37:B41)</f>
        <v>829</v>
      </c>
      <c r="C36" s="113">
        <f>SUM(C37:C41)</f>
        <v>830</v>
      </c>
      <c r="D36" s="113">
        <f>SUM(D37:D41)</f>
        <v>659</v>
      </c>
      <c r="E36" s="111">
        <f t="shared" si="0"/>
        <v>-20.506634499396863</v>
      </c>
      <c r="F36" s="108">
        <f t="shared" si="1"/>
        <v>79.39759036144578</v>
      </c>
      <c r="GU36" s="57"/>
    </row>
    <row r="37" spans="1:203" ht="20.25" customHeight="1">
      <c r="A37" s="114" t="s">
        <v>35</v>
      </c>
      <c r="B37" s="28">
        <v>221</v>
      </c>
      <c r="C37" s="28">
        <v>201</v>
      </c>
      <c r="D37" s="28">
        <v>201</v>
      </c>
      <c r="E37" s="111">
        <f t="shared" si="0"/>
        <v>-9.049773755656108</v>
      </c>
      <c r="F37" s="108">
        <f t="shared" si="1"/>
        <v>100</v>
      </c>
      <c r="GU37" s="57"/>
    </row>
    <row r="38" spans="1:203" ht="20.25" customHeight="1">
      <c r="A38" s="114" t="s">
        <v>36</v>
      </c>
      <c r="B38" s="28">
        <v>178</v>
      </c>
      <c r="C38" s="28">
        <v>157</v>
      </c>
      <c r="D38" s="28">
        <v>157</v>
      </c>
      <c r="E38" s="111">
        <f t="shared" si="0"/>
        <v>-11.797752808988763</v>
      </c>
      <c r="F38" s="108">
        <f t="shared" si="1"/>
        <v>100</v>
      </c>
      <c r="GU38" s="57"/>
    </row>
    <row r="39" spans="1:203" ht="20.25" customHeight="1">
      <c r="A39" s="114" t="s">
        <v>54</v>
      </c>
      <c r="B39" s="28">
        <v>3</v>
      </c>
      <c r="C39" s="28">
        <v>31</v>
      </c>
      <c r="D39" s="28">
        <v>31</v>
      </c>
      <c r="E39" s="111">
        <f t="shared" si="0"/>
        <v>933.3333333333334</v>
      </c>
      <c r="F39" s="108">
        <f t="shared" si="1"/>
        <v>100</v>
      </c>
      <c r="GU39" s="57"/>
    </row>
    <row r="40" spans="1:203" ht="20.25" customHeight="1">
      <c r="A40" s="114" t="s">
        <v>46</v>
      </c>
      <c r="B40" s="28">
        <v>192</v>
      </c>
      <c r="C40" s="28">
        <v>347</v>
      </c>
      <c r="D40" s="28">
        <v>190</v>
      </c>
      <c r="E40" s="111">
        <f t="shared" si="0"/>
        <v>-1.0416666666666665</v>
      </c>
      <c r="F40" s="108">
        <f t="shared" si="1"/>
        <v>54.7550432276657</v>
      </c>
      <c r="GU40" s="57"/>
    </row>
    <row r="41" spans="1:203" ht="20.25" customHeight="1">
      <c r="A41" s="114" t="s">
        <v>55</v>
      </c>
      <c r="B41" s="28">
        <v>235</v>
      </c>
      <c r="C41" s="28">
        <f>80+14</f>
        <v>94</v>
      </c>
      <c r="D41" s="28">
        <v>80</v>
      </c>
      <c r="E41" s="111">
        <f t="shared" si="0"/>
        <v>-65.95744680851064</v>
      </c>
      <c r="F41" s="108">
        <f t="shared" si="1"/>
        <v>85.1063829787234</v>
      </c>
      <c r="G41" s="25">
        <v>14</v>
      </c>
      <c r="GU41" s="57"/>
    </row>
    <row r="42" spans="1:203" ht="20.25" customHeight="1">
      <c r="A42" s="114" t="s">
        <v>56</v>
      </c>
      <c r="B42" s="112">
        <f>SUM(B43:B44)</f>
        <v>1481</v>
      </c>
      <c r="C42" s="112">
        <f>SUM(C43:C44)</f>
        <v>892</v>
      </c>
      <c r="D42" s="112">
        <f>SUM(D43:D44)</f>
        <v>1310</v>
      </c>
      <c r="E42" s="111">
        <f t="shared" si="0"/>
        <v>-11.546252532072923</v>
      </c>
      <c r="F42" s="108">
        <f t="shared" si="1"/>
        <v>146.8609865470852</v>
      </c>
      <c r="GU42" s="57"/>
    </row>
    <row r="43" spans="1:203" ht="20.25" customHeight="1">
      <c r="A43" s="114" t="s">
        <v>57</v>
      </c>
      <c r="B43" s="28">
        <v>121</v>
      </c>
      <c r="C43" s="28"/>
      <c r="D43" s="28">
        <v>46</v>
      </c>
      <c r="E43" s="111">
        <f t="shared" si="0"/>
        <v>-61.98347107438017</v>
      </c>
      <c r="F43" s="108"/>
      <c r="GU43" s="57"/>
    </row>
    <row r="44" spans="1:203" ht="20.25" customHeight="1">
      <c r="A44" s="114" t="s">
        <v>58</v>
      </c>
      <c r="B44" s="28">
        <v>1360</v>
      </c>
      <c r="C44" s="28">
        <v>892</v>
      </c>
      <c r="D44" s="28">
        <v>1264</v>
      </c>
      <c r="E44" s="111">
        <f t="shared" si="0"/>
        <v>-7.0588235294117645</v>
      </c>
      <c r="F44" s="108">
        <f t="shared" si="1"/>
        <v>141.70403587443948</v>
      </c>
      <c r="GU44" s="57"/>
    </row>
    <row r="45" spans="1:203" ht="20.25" customHeight="1">
      <c r="A45" s="114" t="s">
        <v>59</v>
      </c>
      <c r="B45" s="113">
        <f>SUM(B46:B49)</f>
        <v>199</v>
      </c>
      <c r="C45" s="113">
        <f>SUM(C46:C49)</f>
        <v>174</v>
      </c>
      <c r="D45" s="113">
        <f>SUM(D46:D49)</f>
        <v>173</v>
      </c>
      <c r="E45" s="111">
        <f t="shared" si="0"/>
        <v>-13.06532663316583</v>
      </c>
      <c r="F45" s="108">
        <f t="shared" si="1"/>
        <v>99.42528735632183</v>
      </c>
      <c r="GU45" s="57"/>
    </row>
    <row r="46" spans="1:203" ht="20.25" customHeight="1">
      <c r="A46" s="114" t="s">
        <v>35</v>
      </c>
      <c r="B46" s="28">
        <v>161</v>
      </c>
      <c r="C46" s="28">
        <v>138</v>
      </c>
      <c r="D46" s="28">
        <v>148</v>
      </c>
      <c r="E46" s="111">
        <f t="shared" si="0"/>
        <v>-8.074534161490684</v>
      </c>
      <c r="F46" s="108">
        <f t="shared" si="1"/>
        <v>107.24637681159422</v>
      </c>
      <c r="GU46" s="57"/>
    </row>
    <row r="47" spans="1:203" ht="20.25" customHeight="1">
      <c r="A47" s="114" t="s">
        <v>36</v>
      </c>
      <c r="B47" s="28">
        <v>16</v>
      </c>
      <c r="C47" s="28">
        <v>14</v>
      </c>
      <c r="D47" s="28">
        <v>12</v>
      </c>
      <c r="E47" s="111">
        <f t="shared" si="0"/>
        <v>-25</v>
      </c>
      <c r="F47" s="108">
        <f t="shared" si="1"/>
        <v>85.71428571428571</v>
      </c>
      <c r="GU47" s="57"/>
    </row>
    <row r="48" spans="1:203" ht="20.25" customHeight="1">
      <c r="A48" s="114" t="s">
        <v>60</v>
      </c>
      <c r="B48" s="28">
        <v>10</v>
      </c>
      <c r="C48" s="28"/>
      <c r="D48" s="28"/>
      <c r="E48" s="111">
        <f t="shared" si="0"/>
        <v>-100</v>
      </c>
      <c r="F48" s="108"/>
      <c r="GU48" s="57"/>
    </row>
    <row r="49" spans="1:203" ht="20.25" customHeight="1">
      <c r="A49" s="27" t="s">
        <v>61</v>
      </c>
      <c r="B49" s="28">
        <v>12</v>
      </c>
      <c r="C49" s="28">
        <f>9+13</f>
        <v>22</v>
      </c>
      <c r="D49" s="28">
        <v>13</v>
      </c>
      <c r="E49" s="111">
        <f t="shared" si="0"/>
        <v>8.333333333333332</v>
      </c>
      <c r="F49" s="108">
        <f t="shared" si="1"/>
        <v>59.09090909090909</v>
      </c>
      <c r="G49" s="25">
        <v>13</v>
      </c>
      <c r="GU49" s="57"/>
    </row>
    <row r="50" spans="1:203" ht="20.25" customHeight="1">
      <c r="A50" s="114" t="s">
        <v>62</v>
      </c>
      <c r="B50" s="113">
        <f>SUM(B51:B55)</f>
        <v>82</v>
      </c>
      <c r="C50" s="113">
        <f>SUM(C51:C55)</f>
        <v>57</v>
      </c>
      <c r="D50" s="113">
        <f>SUM(D51:D55)</f>
        <v>57</v>
      </c>
      <c r="E50" s="111">
        <f t="shared" si="0"/>
        <v>-30.48780487804878</v>
      </c>
      <c r="F50" s="108">
        <f t="shared" si="1"/>
        <v>100</v>
      </c>
      <c r="GU50" s="57"/>
    </row>
    <row r="51" spans="1:203" ht="20.25" customHeight="1">
      <c r="A51" s="114" t="s">
        <v>35</v>
      </c>
      <c r="B51" s="28">
        <v>33</v>
      </c>
      <c r="C51" s="28">
        <v>35</v>
      </c>
      <c r="D51" s="28">
        <v>35</v>
      </c>
      <c r="E51" s="111">
        <f t="shared" si="0"/>
        <v>6.0606060606060606</v>
      </c>
      <c r="F51" s="108">
        <f t="shared" si="1"/>
        <v>100</v>
      </c>
      <c r="GU51" s="57"/>
    </row>
    <row r="52" spans="1:203" ht="20.25" customHeight="1">
      <c r="A52" s="114" t="s">
        <v>36</v>
      </c>
      <c r="B52" s="28">
        <v>9</v>
      </c>
      <c r="C52" s="28">
        <v>8</v>
      </c>
      <c r="D52" s="28">
        <v>8</v>
      </c>
      <c r="E52" s="111">
        <f t="shared" si="0"/>
        <v>-11.11111111111111</v>
      </c>
      <c r="F52" s="108">
        <f t="shared" si="1"/>
        <v>100</v>
      </c>
      <c r="GU52" s="57"/>
    </row>
    <row r="53" spans="1:203" ht="20.25" customHeight="1">
      <c r="A53" s="114" t="s">
        <v>63</v>
      </c>
      <c r="B53" s="28">
        <v>24</v>
      </c>
      <c r="C53" s="28"/>
      <c r="D53" s="28"/>
      <c r="E53" s="111">
        <f t="shared" si="0"/>
        <v>-100</v>
      </c>
      <c r="F53" s="108"/>
      <c r="GU53" s="57"/>
    </row>
    <row r="54" spans="1:203" ht="20.25" customHeight="1">
      <c r="A54" s="114" t="s">
        <v>46</v>
      </c>
      <c r="B54" s="28">
        <v>13</v>
      </c>
      <c r="C54" s="28">
        <v>12</v>
      </c>
      <c r="D54" s="28">
        <v>12</v>
      </c>
      <c r="E54" s="111">
        <f t="shared" si="0"/>
        <v>-7.6923076923076925</v>
      </c>
      <c r="F54" s="108">
        <f t="shared" si="1"/>
        <v>100</v>
      </c>
      <c r="GU54" s="57"/>
    </row>
    <row r="55" spans="1:203" ht="20.25" customHeight="1">
      <c r="A55" s="114" t="s">
        <v>64</v>
      </c>
      <c r="B55" s="28">
        <v>3</v>
      </c>
      <c r="C55" s="28">
        <v>2</v>
      </c>
      <c r="D55" s="28">
        <v>2</v>
      </c>
      <c r="E55" s="111">
        <f t="shared" si="0"/>
        <v>-33.33333333333333</v>
      </c>
      <c r="F55" s="108">
        <f t="shared" si="1"/>
        <v>100</v>
      </c>
      <c r="GU55" s="57"/>
    </row>
    <row r="56" spans="1:203" ht="20.25" customHeight="1">
      <c r="A56" s="114" t="s">
        <v>65</v>
      </c>
      <c r="B56" s="113">
        <f>SUM(B57:B59)</f>
        <v>283</v>
      </c>
      <c r="C56" s="113">
        <f>SUM(C57:C59)</f>
        <v>294</v>
      </c>
      <c r="D56" s="113">
        <f>SUM(D57:D59)</f>
        <v>294</v>
      </c>
      <c r="E56" s="111">
        <f t="shared" si="0"/>
        <v>3.8869257950530036</v>
      </c>
      <c r="F56" s="108">
        <f t="shared" si="1"/>
        <v>100</v>
      </c>
      <c r="GU56" s="57"/>
    </row>
    <row r="57" spans="1:203" ht="20.25" customHeight="1">
      <c r="A57" s="114" t="s">
        <v>35</v>
      </c>
      <c r="B57" s="28">
        <v>224</v>
      </c>
      <c r="C57" s="28">
        <v>218</v>
      </c>
      <c r="D57" s="28">
        <v>218</v>
      </c>
      <c r="E57" s="111">
        <f t="shared" si="0"/>
        <v>-2.6785714285714284</v>
      </c>
      <c r="F57" s="108">
        <f t="shared" si="1"/>
        <v>100</v>
      </c>
      <c r="GU57" s="57"/>
    </row>
    <row r="58" spans="1:203" ht="20.25" customHeight="1">
      <c r="A58" s="114" t="s">
        <v>36</v>
      </c>
      <c r="B58" s="28">
        <v>52</v>
      </c>
      <c r="C58" s="28">
        <v>76</v>
      </c>
      <c r="D58" s="28">
        <v>76</v>
      </c>
      <c r="E58" s="111">
        <f t="shared" si="0"/>
        <v>46.15384615384615</v>
      </c>
      <c r="F58" s="108">
        <f t="shared" si="1"/>
        <v>100</v>
      </c>
      <c r="GU58" s="57"/>
    </row>
    <row r="59" spans="1:203" ht="20.25" customHeight="1">
      <c r="A59" s="27" t="s">
        <v>66</v>
      </c>
      <c r="B59" s="28">
        <v>7</v>
      </c>
      <c r="C59" s="28"/>
      <c r="D59" s="28"/>
      <c r="E59" s="111">
        <f t="shared" si="0"/>
        <v>-100</v>
      </c>
      <c r="F59" s="108"/>
      <c r="GU59" s="57"/>
    </row>
    <row r="60" spans="1:203" ht="20.25" customHeight="1">
      <c r="A60" s="114" t="s">
        <v>67</v>
      </c>
      <c r="B60" s="113">
        <f>SUM(B61:B65)</f>
        <v>280</v>
      </c>
      <c r="C60" s="113">
        <f>SUM(C61:C65)</f>
        <v>225</v>
      </c>
      <c r="D60" s="113">
        <f>SUM(D61:D65)</f>
        <v>246</v>
      </c>
      <c r="E60" s="111">
        <f t="shared" si="0"/>
        <v>-12.142857142857142</v>
      </c>
      <c r="F60" s="108">
        <f t="shared" si="1"/>
        <v>109.33333333333333</v>
      </c>
      <c r="GU60" s="57"/>
    </row>
    <row r="61" spans="1:203" ht="20.25" customHeight="1">
      <c r="A61" s="114" t="s">
        <v>35</v>
      </c>
      <c r="B61" s="28">
        <v>154</v>
      </c>
      <c r="C61" s="28">
        <v>128</v>
      </c>
      <c r="D61" s="28">
        <v>128</v>
      </c>
      <c r="E61" s="111">
        <f t="shared" si="0"/>
        <v>-16.883116883116884</v>
      </c>
      <c r="F61" s="108">
        <f t="shared" si="1"/>
        <v>100</v>
      </c>
      <c r="GU61" s="57"/>
    </row>
    <row r="62" spans="1:203" ht="20.25" customHeight="1">
      <c r="A62" s="114" t="s">
        <v>36</v>
      </c>
      <c r="B62" s="28"/>
      <c r="C62" s="28"/>
      <c r="D62" s="28"/>
      <c r="E62" s="111"/>
      <c r="F62" s="108"/>
      <c r="GU62" s="57"/>
    </row>
    <row r="63" spans="1:203" ht="20.25" customHeight="1">
      <c r="A63" s="114" t="s">
        <v>68</v>
      </c>
      <c r="B63" s="28">
        <v>50</v>
      </c>
      <c r="C63" s="28">
        <v>30</v>
      </c>
      <c r="D63" s="28">
        <v>50</v>
      </c>
      <c r="E63" s="111">
        <f t="shared" si="0"/>
        <v>0</v>
      </c>
      <c r="F63" s="108">
        <f t="shared" si="1"/>
        <v>166.66666666666669</v>
      </c>
      <c r="GU63" s="57"/>
    </row>
    <row r="64" spans="1:203" ht="20.25" customHeight="1">
      <c r="A64" s="114" t="s">
        <v>46</v>
      </c>
      <c r="B64" s="28">
        <v>52</v>
      </c>
      <c r="C64" s="28">
        <v>50</v>
      </c>
      <c r="D64" s="28">
        <v>50</v>
      </c>
      <c r="E64" s="111">
        <f t="shared" si="0"/>
        <v>-3.8461538461538463</v>
      </c>
      <c r="F64" s="108">
        <f t="shared" si="1"/>
        <v>100</v>
      </c>
      <c r="GU64" s="57"/>
    </row>
    <row r="65" spans="1:203" ht="20.25" customHeight="1">
      <c r="A65" s="114" t="s">
        <v>69</v>
      </c>
      <c r="B65" s="28">
        <v>24</v>
      </c>
      <c r="C65" s="28">
        <v>17</v>
      </c>
      <c r="D65" s="28">
        <v>18</v>
      </c>
      <c r="E65" s="111">
        <f t="shared" si="0"/>
        <v>-25</v>
      </c>
      <c r="F65" s="108">
        <f t="shared" si="1"/>
        <v>105.88235294117648</v>
      </c>
      <c r="GU65" s="57"/>
    </row>
    <row r="66" spans="1:203" ht="20.25" customHeight="1">
      <c r="A66" s="114" t="s">
        <v>70</v>
      </c>
      <c r="B66" s="113">
        <f>SUM(B67:B72)</f>
        <v>1270</v>
      </c>
      <c r="C66" s="113">
        <f>SUM(C67:C72)</f>
        <v>970</v>
      </c>
      <c r="D66" s="113">
        <f>SUM(D67:D72)</f>
        <v>974</v>
      </c>
      <c r="E66" s="111">
        <f t="shared" si="0"/>
        <v>-23.30708661417323</v>
      </c>
      <c r="F66" s="108">
        <f t="shared" si="1"/>
        <v>100.41237113402062</v>
      </c>
      <c r="GU66" s="57"/>
    </row>
    <row r="67" spans="1:203" ht="20.25" customHeight="1">
      <c r="A67" s="114" t="s">
        <v>35</v>
      </c>
      <c r="B67" s="28">
        <v>915</v>
      </c>
      <c r="C67" s="28">
        <v>864</v>
      </c>
      <c r="D67" s="28">
        <v>868</v>
      </c>
      <c r="E67" s="111">
        <f t="shared" si="0"/>
        <v>-5.136612021857923</v>
      </c>
      <c r="F67" s="108">
        <f t="shared" si="1"/>
        <v>100.46296296296295</v>
      </c>
      <c r="GU67" s="57"/>
    </row>
    <row r="68" spans="1:203" ht="20.25" customHeight="1">
      <c r="A68" s="114" t="s">
        <v>36</v>
      </c>
      <c r="B68" s="28">
        <v>74</v>
      </c>
      <c r="C68" s="28">
        <v>30</v>
      </c>
      <c r="D68" s="28">
        <v>30</v>
      </c>
      <c r="E68" s="111">
        <f t="shared" si="0"/>
        <v>-59.45945945945946</v>
      </c>
      <c r="F68" s="108">
        <f t="shared" si="1"/>
        <v>100</v>
      </c>
      <c r="GU68" s="57"/>
    </row>
    <row r="69" spans="1:203" ht="20.25" customHeight="1">
      <c r="A69" s="114" t="s">
        <v>71</v>
      </c>
      <c r="B69" s="28"/>
      <c r="C69" s="28"/>
      <c r="D69" s="28"/>
      <c r="E69" s="111"/>
      <c r="F69" s="108"/>
      <c r="GU69" s="57"/>
    </row>
    <row r="70" spans="1:203" ht="20.25" customHeight="1">
      <c r="A70" s="114" t="s">
        <v>72</v>
      </c>
      <c r="B70" s="28"/>
      <c r="C70" s="28"/>
      <c r="D70" s="28"/>
      <c r="E70" s="111"/>
      <c r="F70" s="108"/>
      <c r="GU70" s="57"/>
    </row>
    <row r="71" spans="1:203" ht="20.25" customHeight="1">
      <c r="A71" s="114" t="s">
        <v>46</v>
      </c>
      <c r="B71" s="28">
        <v>281</v>
      </c>
      <c r="C71" s="28">
        <v>76</v>
      </c>
      <c r="D71" s="28">
        <v>76</v>
      </c>
      <c r="E71" s="111">
        <f aca="true" t="shared" si="2" ref="E71:E136">(D71-B71)/B71*100</f>
        <v>-72.95373665480427</v>
      </c>
      <c r="F71" s="108">
        <f aca="true" t="shared" si="3" ref="F71:F133">D71/C71*100</f>
        <v>100</v>
      </c>
      <c r="GU71" s="57"/>
    </row>
    <row r="72" spans="1:203" ht="20.25" customHeight="1">
      <c r="A72" s="114" t="s">
        <v>73</v>
      </c>
      <c r="B72" s="28"/>
      <c r="C72" s="28"/>
      <c r="D72" s="28"/>
      <c r="E72" s="111"/>
      <c r="F72" s="108"/>
      <c r="GU72" s="57"/>
    </row>
    <row r="73" spans="1:203" ht="20.25" customHeight="1">
      <c r="A73" s="115" t="s">
        <v>584</v>
      </c>
      <c r="B73" s="28">
        <f>SUM(B74:B75)</f>
        <v>0</v>
      </c>
      <c r="C73" s="28">
        <f>SUM(C74:C75)</f>
        <v>193</v>
      </c>
      <c r="D73" s="28">
        <f>SUM(D74:D75)</f>
        <v>173</v>
      </c>
      <c r="E73" s="111"/>
      <c r="F73" s="108">
        <f t="shared" si="3"/>
        <v>89.63730569948186</v>
      </c>
      <c r="GU73" s="57"/>
    </row>
    <row r="74" spans="1:203" ht="20.25" customHeight="1">
      <c r="A74" s="115" t="s">
        <v>585</v>
      </c>
      <c r="B74" s="28"/>
      <c r="C74" s="28">
        <v>86</v>
      </c>
      <c r="D74" s="28">
        <v>62</v>
      </c>
      <c r="E74" s="111"/>
      <c r="F74" s="108">
        <f t="shared" si="3"/>
        <v>72.09302325581395</v>
      </c>
      <c r="GU74" s="57"/>
    </row>
    <row r="75" spans="1:203" ht="20.25" customHeight="1">
      <c r="A75" s="115" t="s">
        <v>586</v>
      </c>
      <c r="B75" s="28"/>
      <c r="C75" s="28">
        <v>107</v>
      </c>
      <c r="D75" s="28">
        <v>111</v>
      </c>
      <c r="E75" s="111"/>
      <c r="F75" s="108">
        <f t="shared" si="3"/>
        <v>103.73831775700934</v>
      </c>
      <c r="GU75" s="57"/>
    </row>
    <row r="76" spans="1:203" ht="20.25" customHeight="1">
      <c r="A76" s="114" t="s">
        <v>74</v>
      </c>
      <c r="B76" s="113">
        <f>SUM(B77:B79)</f>
        <v>189</v>
      </c>
      <c r="C76" s="113">
        <f>SUM(C77:C79)</f>
        <v>149</v>
      </c>
      <c r="D76" s="113">
        <f>SUM(D77:D79)</f>
        <v>151</v>
      </c>
      <c r="E76" s="111">
        <f t="shared" si="2"/>
        <v>-20.105820105820104</v>
      </c>
      <c r="F76" s="108">
        <f t="shared" si="3"/>
        <v>101.34228187919463</v>
      </c>
      <c r="GU76" s="57"/>
    </row>
    <row r="77" spans="1:203" ht="20.25" customHeight="1">
      <c r="A77" s="114" t="s">
        <v>35</v>
      </c>
      <c r="B77" s="28">
        <v>47</v>
      </c>
      <c r="C77" s="28">
        <v>41</v>
      </c>
      <c r="D77" s="28">
        <v>41</v>
      </c>
      <c r="E77" s="111">
        <f t="shared" si="2"/>
        <v>-12.76595744680851</v>
      </c>
      <c r="F77" s="108">
        <f t="shared" si="3"/>
        <v>100</v>
      </c>
      <c r="GU77" s="57"/>
    </row>
    <row r="78" spans="1:203" ht="20.25" customHeight="1">
      <c r="A78" s="114" t="s">
        <v>36</v>
      </c>
      <c r="B78" s="28">
        <v>1</v>
      </c>
      <c r="C78" s="28"/>
      <c r="D78" s="28"/>
      <c r="E78" s="111">
        <f t="shared" si="2"/>
        <v>-100</v>
      </c>
      <c r="F78" s="108"/>
      <c r="GU78" s="57"/>
    </row>
    <row r="79" spans="1:203" ht="20.25" customHeight="1">
      <c r="A79" s="114" t="s">
        <v>75</v>
      </c>
      <c r="B79" s="28">
        <v>141</v>
      </c>
      <c r="C79" s="28">
        <f>8+100</f>
        <v>108</v>
      </c>
      <c r="D79" s="28">
        <v>110</v>
      </c>
      <c r="E79" s="111">
        <f t="shared" si="2"/>
        <v>-21.98581560283688</v>
      </c>
      <c r="F79" s="108">
        <f t="shared" si="3"/>
        <v>101.85185185185186</v>
      </c>
      <c r="G79" s="25">
        <v>100</v>
      </c>
      <c r="GU79" s="57"/>
    </row>
    <row r="80" spans="1:203" ht="20.25" customHeight="1">
      <c r="A80" s="114" t="s">
        <v>76</v>
      </c>
      <c r="B80" s="113">
        <f>SUM(B81:B82)</f>
        <v>106</v>
      </c>
      <c r="C80" s="113">
        <f>SUM(C81:C82)</f>
        <v>100</v>
      </c>
      <c r="D80" s="113">
        <f>SUM(D81:D82)</f>
        <v>99</v>
      </c>
      <c r="E80" s="111">
        <f t="shared" si="2"/>
        <v>-6.60377358490566</v>
      </c>
      <c r="F80" s="108">
        <f t="shared" si="3"/>
        <v>99</v>
      </c>
      <c r="GU80" s="57"/>
    </row>
    <row r="81" spans="1:203" ht="20.25" customHeight="1">
      <c r="A81" s="114" t="s">
        <v>35</v>
      </c>
      <c r="B81" s="28">
        <v>90</v>
      </c>
      <c r="C81" s="28">
        <v>88</v>
      </c>
      <c r="D81" s="28">
        <v>87</v>
      </c>
      <c r="E81" s="111">
        <f t="shared" si="2"/>
        <v>-3.3333333333333335</v>
      </c>
      <c r="F81" s="108">
        <f t="shared" si="3"/>
        <v>98.86363636363636</v>
      </c>
      <c r="GU81" s="57"/>
    </row>
    <row r="82" spans="1:203" ht="20.25" customHeight="1">
      <c r="A82" s="114" t="s">
        <v>77</v>
      </c>
      <c r="B82" s="28">
        <v>16</v>
      </c>
      <c r="C82" s="28">
        <v>12</v>
      </c>
      <c r="D82" s="28">
        <v>12</v>
      </c>
      <c r="E82" s="111">
        <f t="shared" si="2"/>
        <v>-25</v>
      </c>
      <c r="F82" s="108">
        <f t="shared" si="3"/>
        <v>100</v>
      </c>
      <c r="GU82" s="57"/>
    </row>
    <row r="83" spans="1:203" ht="20.25" customHeight="1">
      <c r="A83" s="114" t="s">
        <v>78</v>
      </c>
      <c r="B83" s="113">
        <f>SUM(B84:B85)</f>
        <v>8</v>
      </c>
      <c r="C83" s="113">
        <f>SUM(C84:C85)</f>
        <v>9</v>
      </c>
      <c r="D83" s="113">
        <f>SUM(D84:D85)</f>
        <v>9</v>
      </c>
      <c r="E83" s="111">
        <f t="shared" si="2"/>
        <v>12.5</v>
      </c>
      <c r="F83" s="108">
        <f t="shared" si="3"/>
        <v>100</v>
      </c>
      <c r="GU83" s="57"/>
    </row>
    <row r="84" spans="1:203" s="48" customFormat="1" ht="20.25" customHeight="1">
      <c r="A84" s="114" t="s">
        <v>35</v>
      </c>
      <c r="B84" s="28">
        <v>1</v>
      </c>
      <c r="C84" s="28">
        <v>3</v>
      </c>
      <c r="D84" s="28">
        <v>3</v>
      </c>
      <c r="E84" s="111">
        <f t="shared" si="2"/>
        <v>200</v>
      </c>
      <c r="F84" s="108">
        <f t="shared" si="3"/>
        <v>100</v>
      </c>
      <c r="GU84" s="58"/>
    </row>
    <row r="85" spans="1:203" s="48" customFormat="1" ht="20.25" customHeight="1">
      <c r="A85" s="27" t="s">
        <v>36</v>
      </c>
      <c r="B85" s="28">
        <v>7</v>
      </c>
      <c r="C85" s="28">
        <v>6</v>
      </c>
      <c r="D85" s="28">
        <v>6</v>
      </c>
      <c r="E85" s="111">
        <f t="shared" si="2"/>
        <v>-14.285714285714285</v>
      </c>
      <c r="F85" s="108">
        <f t="shared" si="3"/>
        <v>100</v>
      </c>
      <c r="GU85" s="58"/>
    </row>
    <row r="86" spans="1:203" ht="20.25" customHeight="1">
      <c r="A86" s="114" t="s">
        <v>79</v>
      </c>
      <c r="B86" s="113">
        <f>SUM(B87:B89)</f>
        <v>198</v>
      </c>
      <c r="C86" s="113">
        <f>SUM(C87:C89)</f>
        <v>190</v>
      </c>
      <c r="D86" s="113">
        <f>SUM(D87:D89)</f>
        <v>193</v>
      </c>
      <c r="E86" s="111">
        <f t="shared" si="2"/>
        <v>-2.525252525252525</v>
      </c>
      <c r="F86" s="108">
        <f t="shared" si="3"/>
        <v>101.57894736842105</v>
      </c>
      <c r="GU86" s="57"/>
    </row>
    <row r="87" spans="1:203" ht="20.25" customHeight="1">
      <c r="A87" s="114" t="s">
        <v>35</v>
      </c>
      <c r="B87" s="28">
        <v>139</v>
      </c>
      <c r="C87" s="28">
        <v>102</v>
      </c>
      <c r="D87" s="28">
        <v>126</v>
      </c>
      <c r="E87" s="111">
        <f t="shared" si="2"/>
        <v>-9.352517985611511</v>
      </c>
      <c r="F87" s="108">
        <f t="shared" si="3"/>
        <v>123.52941176470588</v>
      </c>
      <c r="GU87" s="57"/>
    </row>
    <row r="88" spans="1:203" ht="20.25" customHeight="1">
      <c r="A88" s="114" t="s">
        <v>36</v>
      </c>
      <c r="B88" s="28">
        <v>54</v>
      </c>
      <c r="C88" s="28">
        <v>64</v>
      </c>
      <c r="D88" s="28">
        <v>38</v>
      </c>
      <c r="E88" s="111">
        <f t="shared" si="2"/>
        <v>-29.629629629629626</v>
      </c>
      <c r="F88" s="108">
        <f t="shared" si="3"/>
        <v>59.375</v>
      </c>
      <c r="GU88" s="57"/>
    </row>
    <row r="89" spans="1:203" ht="20.25" customHeight="1">
      <c r="A89" s="114" t="s">
        <v>80</v>
      </c>
      <c r="B89" s="28">
        <v>5</v>
      </c>
      <c r="C89" s="28">
        <v>24</v>
      </c>
      <c r="D89" s="28">
        <v>29</v>
      </c>
      <c r="E89" s="111">
        <f t="shared" si="2"/>
        <v>480</v>
      </c>
      <c r="F89" s="108">
        <f t="shared" si="3"/>
        <v>120.83333333333333</v>
      </c>
      <c r="G89" s="25">
        <v>24</v>
      </c>
      <c r="GU89" s="57"/>
    </row>
    <row r="90" spans="1:203" ht="20.25" customHeight="1">
      <c r="A90" s="114" t="s">
        <v>81</v>
      </c>
      <c r="B90" s="113">
        <f>SUM(B91:B92)</f>
        <v>1054</v>
      </c>
      <c r="C90" s="113">
        <f>SUM(C91:C92)</f>
        <v>1116</v>
      </c>
      <c r="D90" s="113">
        <f>SUM(D91:D92)</f>
        <v>1041</v>
      </c>
      <c r="E90" s="111">
        <f t="shared" si="2"/>
        <v>-1.2333965844402277</v>
      </c>
      <c r="F90" s="108">
        <f t="shared" si="3"/>
        <v>93.27956989247312</v>
      </c>
      <c r="GU90" s="57"/>
    </row>
    <row r="91" spans="1:203" ht="20.25" customHeight="1">
      <c r="A91" s="114" t="s">
        <v>35</v>
      </c>
      <c r="B91" s="28">
        <v>827</v>
      </c>
      <c r="C91" s="28">
        <v>831</v>
      </c>
      <c r="D91" s="28">
        <v>774</v>
      </c>
      <c r="E91" s="111">
        <f t="shared" si="2"/>
        <v>-6.408706166868199</v>
      </c>
      <c r="F91" s="108">
        <f t="shared" si="3"/>
        <v>93.14079422382672</v>
      </c>
      <c r="GU91" s="57"/>
    </row>
    <row r="92" spans="1:203" ht="20.25" customHeight="1">
      <c r="A92" s="114" t="s">
        <v>36</v>
      </c>
      <c r="B92" s="28">
        <v>227</v>
      </c>
      <c r="C92" s="28">
        <v>285</v>
      </c>
      <c r="D92" s="28">
        <v>267</v>
      </c>
      <c r="E92" s="111">
        <f t="shared" si="2"/>
        <v>17.62114537444934</v>
      </c>
      <c r="F92" s="108">
        <f t="shared" si="3"/>
        <v>93.6842105263158</v>
      </c>
      <c r="GU92" s="57"/>
    </row>
    <row r="93" spans="1:203" ht="20.25" customHeight="1">
      <c r="A93" s="114" t="s">
        <v>82</v>
      </c>
      <c r="B93" s="113">
        <f>SUM(B94:B97)</f>
        <v>1811</v>
      </c>
      <c r="C93" s="113">
        <f>SUM(C94:C97)</f>
        <v>991</v>
      </c>
      <c r="D93" s="113">
        <f>SUM(D94:D97)</f>
        <v>2176</v>
      </c>
      <c r="E93" s="111">
        <f t="shared" si="2"/>
        <v>20.15461071231364</v>
      </c>
      <c r="F93" s="108">
        <f t="shared" si="3"/>
        <v>219.57618567103933</v>
      </c>
      <c r="GU93" s="57"/>
    </row>
    <row r="94" spans="1:203" ht="20.25" customHeight="1">
      <c r="A94" s="114" t="s">
        <v>35</v>
      </c>
      <c r="B94" s="28">
        <v>223</v>
      </c>
      <c r="C94" s="28">
        <v>230</v>
      </c>
      <c r="D94" s="28">
        <v>230</v>
      </c>
      <c r="E94" s="111">
        <f t="shared" si="2"/>
        <v>3.1390134529147984</v>
      </c>
      <c r="F94" s="108">
        <f t="shared" si="3"/>
        <v>100</v>
      </c>
      <c r="GU94" s="57"/>
    </row>
    <row r="95" spans="1:203" ht="20.25" customHeight="1">
      <c r="A95" s="114" t="s">
        <v>36</v>
      </c>
      <c r="B95" s="28">
        <v>608</v>
      </c>
      <c r="C95" s="28">
        <v>516</v>
      </c>
      <c r="D95" s="28">
        <v>1699</v>
      </c>
      <c r="E95" s="111">
        <f t="shared" si="2"/>
        <v>179.4407894736842</v>
      </c>
      <c r="F95" s="108">
        <f t="shared" si="3"/>
        <v>329.26356589147287</v>
      </c>
      <c r="GU95" s="57"/>
    </row>
    <row r="96" spans="1:203" ht="20.25" customHeight="1">
      <c r="A96" s="114" t="s">
        <v>46</v>
      </c>
      <c r="B96" s="28">
        <v>7</v>
      </c>
      <c r="C96" s="28">
        <v>5</v>
      </c>
      <c r="D96" s="28">
        <v>5</v>
      </c>
      <c r="E96" s="111">
        <f t="shared" si="2"/>
        <v>-28.57142857142857</v>
      </c>
      <c r="F96" s="108">
        <f t="shared" si="3"/>
        <v>100</v>
      </c>
      <c r="GU96" s="57"/>
    </row>
    <row r="97" spans="1:203" ht="20.25" customHeight="1">
      <c r="A97" s="114" t="s">
        <v>83</v>
      </c>
      <c r="B97" s="28">
        <v>973</v>
      </c>
      <c r="C97" s="28">
        <v>240</v>
      </c>
      <c r="D97" s="28">
        <v>242</v>
      </c>
      <c r="E97" s="111">
        <f t="shared" si="2"/>
        <v>-75.12846865364851</v>
      </c>
      <c r="F97" s="108">
        <f t="shared" si="3"/>
        <v>100.83333333333333</v>
      </c>
      <c r="G97" s="25">
        <v>240</v>
      </c>
      <c r="GU97" s="57"/>
    </row>
    <row r="98" spans="1:203" ht="20.25" customHeight="1">
      <c r="A98" s="114" t="s">
        <v>84</v>
      </c>
      <c r="B98" s="113">
        <f>SUM(B99:B101)</f>
        <v>222</v>
      </c>
      <c r="C98" s="113">
        <f>SUM(C99:C101)</f>
        <v>237</v>
      </c>
      <c r="D98" s="113">
        <f>SUM(D99:D101)</f>
        <v>257</v>
      </c>
      <c r="E98" s="111">
        <f t="shared" si="2"/>
        <v>15.765765765765765</v>
      </c>
      <c r="F98" s="108">
        <f t="shared" si="3"/>
        <v>108.43881856540085</v>
      </c>
      <c r="GU98" s="57"/>
    </row>
    <row r="99" spans="1:203" ht="20.25" customHeight="1">
      <c r="A99" s="114" t="s">
        <v>35</v>
      </c>
      <c r="B99" s="28">
        <v>79</v>
      </c>
      <c r="C99" s="28">
        <v>64</v>
      </c>
      <c r="D99" s="28">
        <v>74</v>
      </c>
      <c r="E99" s="111">
        <f t="shared" si="2"/>
        <v>-6.329113924050633</v>
      </c>
      <c r="F99" s="108">
        <f t="shared" si="3"/>
        <v>115.625</v>
      </c>
      <c r="GU99" s="57"/>
    </row>
    <row r="100" spans="1:203" ht="20.25" customHeight="1">
      <c r="A100" s="114" t="s">
        <v>36</v>
      </c>
      <c r="B100" s="28">
        <v>131</v>
      </c>
      <c r="C100" s="28">
        <v>157</v>
      </c>
      <c r="D100" s="28">
        <v>167</v>
      </c>
      <c r="E100" s="111">
        <f t="shared" si="2"/>
        <v>27.480916030534353</v>
      </c>
      <c r="F100" s="108">
        <f t="shared" si="3"/>
        <v>106.36942675159236</v>
      </c>
      <c r="GU100" s="57"/>
    </row>
    <row r="101" spans="1:203" ht="20.25" customHeight="1">
      <c r="A101" s="114" t="s">
        <v>46</v>
      </c>
      <c r="B101" s="28">
        <v>12</v>
      </c>
      <c r="C101" s="28">
        <v>16</v>
      </c>
      <c r="D101" s="28">
        <v>16</v>
      </c>
      <c r="E101" s="111">
        <f t="shared" si="2"/>
        <v>33.33333333333333</v>
      </c>
      <c r="F101" s="108">
        <f t="shared" si="3"/>
        <v>100</v>
      </c>
      <c r="GU101" s="57"/>
    </row>
    <row r="102" spans="1:203" ht="20.25" customHeight="1">
      <c r="A102" s="114" t="s">
        <v>85</v>
      </c>
      <c r="B102" s="113">
        <f>SUM(B103:B104)</f>
        <v>32</v>
      </c>
      <c r="C102" s="113">
        <f>SUM(C103:C104)</f>
        <v>30</v>
      </c>
      <c r="D102" s="113">
        <f>SUM(D103:D104)</f>
        <v>31</v>
      </c>
      <c r="E102" s="111">
        <f t="shared" si="2"/>
        <v>-3.125</v>
      </c>
      <c r="F102" s="108">
        <f t="shared" si="3"/>
        <v>103.33333333333334</v>
      </c>
      <c r="GU102" s="57"/>
    </row>
    <row r="103" spans="1:203" ht="20.25" customHeight="1">
      <c r="A103" s="114" t="s">
        <v>35</v>
      </c>
      <c r="B103" s="28">
        <v>28</v>
      </c>
      <c r="C103" s="28">
        <v>25</v>
      </c>
      <c r="D103" s="28">
        <v>26</v>
      </c>
      <c r="E103" s="111">
        <f t="shared" si="2"/>
        <v>-7.142857142857142</v>
      </c>
      <c r="F103" s="108">
        <f t="shared" si="3"/>
        <v>104</v>
      </c>
      <c r="GU103" s="57"/>
    </row>
    <row r="104" spans="1:203" ht="20.25" customHeight="1">
      <c r="A104" s="114" t="s">
        <v>36</v>
      </c>
      <c r="B104" s="28">
        <v>4</v>
      </c>
      <c r="C104" s="28">
        <v>5</v>
      </c>
      <c r="D104" s="28">
        <v>5</v>
      </c>
      <c r="E104" s="111">
        <f t="shared" si="2"/>
        <v>25</v>
      </c>
      <c r="F104" s="108">
        <f t="shared" si="3"/>
        <v>100</v>
      </c>
      <c r="GU104" s="57"/>
    </row>
    <row r="105" spans="1:203" ht="20.25" customHeight="1">
      <c r="A105" s="114" t="s">
        <v>86</v>
      </c>
      <c r="B105" s="113">
        <f>B106</f>
        <v>57</v>
      </c>
      <c r="C105" s="113">
        <f>C106</f>
        <v>85</v>
      </c>
      <c r="D105" s="113">
        <f>D106</f>
        <v>57</v>
      </c>
      <c r="E105" s="111">
        <f t="shared" si="2"/>
        <v>0</v>
      </c>
      <c r="F105" s="108">
        <f t="shared" si="3"/>
        <v>67.05882352941175</v>
      </c>
      <c r="GU105" s="57"/>
    </row>
    <row r="106" spans="1:203" ht="20.25" customHeight="1">
      <c r="A106" s="114" t="s">
        <v>87</v>
      </c>
      <c r="B106" s="113">
        <f>SUM(B107:B108)</f>
        <v>57</v>
      </c>
      <c r="C106" s="113">
        <f>SUM(C107:C108)</f>
        <v>85</v>
      </c>
      <c r="D106" s="113">
        <f>SUM(D107:D108)</f>
        <v>57</v>
      </c>
      <c r="E106" s="111">
        <f t="shared" si="2"/>
        <v>0</v>
      </c>
      <c r="F106" s="108">
        <f t="shared" si="3"/>
        <v>67.05882352941175</v>
      </c>
      <c r="GU106" s="57"/>
    </row>
    <row r="107" spans="1:203" ht="20.25" customHeight="1">
      <c r="A107" s="114" t="s">
        <v>88</v>
      </c>
      <c r="B107" s="28">
        <v>25</v>
      </c>
      <c r="C107" s="28">
        <v>53</v>
      </c>
      <c r="D107" s="28">
        <v>25</v>
      </c>
      <c r="E107" s="111">
        <f t="shared" si="2"/>
        <v>0</v>
      </c>
      <c r="F107" s="108">
        <f t="shared" si="3"/>
        <v>47.16981132075472</v>
      </c>
      <c r="GU107" s="57"/>
    </row>
    <row r="108" spans="1:203" ht="20.25" customHeight="1">
      <c r="A108" s="114" t="s">
        <v>89</v>
      </c>
      <c r="B108" s="28">
        <v>32</v>
      </c>
      <c r="C108" s="28">
        <v>32</v>
      </c>
      <c r="D108" s="28">
        <v>32</v>
      </c>
      <c r="E108" s="111">
        <f t="shared" si="2"/>
        <v>0</v>
      </c>
      <c r="F108" s="108">
        <f t="shared" si="3"/>
        <v>100</v>
      </c>
      <c r="GU108" s="57"/>
    </row>
    <row r="109" spans="1:203" ht="20.25" customHeight="1">
      <c r="A109" s="114" t="s">
        <v>90</v>
      </c>
      <c r="B109" s="112">
        <f>B110+B113+B123+B126+B129</f>
        <v>8306</v>
      </c>
      <c r="C109" s="112">
        <f>C110+C113+C123+C126+C129</f>
        <v>8145</v>
      </c>
      <c r="D109" s="112">
        <f>D110+D113+D123+D126+D129</f>
        <v>8871</v>
      </c>
      <c r="E109" s="111">
        <f t="shared" si="2"/>
        <v>6.802311581988923</v>
      </c>
      <c r="F109" s="108">
        <f t="shared" si="3"/>
        <v>108.91344383057091</v>
      </c>
      <c r="GU109" s="57"/>
    </row>
    <row r="110" spans="1:203" ht="20.25" customHeight="1">
      <c r="A110" s="114" t="s">
        <v>91</v>
      </c>
      <c r="B110" s="113">
        <f>B111+B112</f>
        <v>160</v>
      </c>
      <c r="C110" s="113">
        <f>C111+C112</f>
        <v>362</v>
      </c>
      <c r="D110" s="113">
        <f>D111+D112</f>
        <v>517</v>
      </c>
      <c r="E110" s="111">
        <f t="shared" si="2"/>
        <v>223.12500000000003</v>
      </c>
      <c r="F110" s="108">
        <f t="shared" si="3"/>
        <v>142.81767955801106</v>
      </c>
      <c r="GU110" s="57"/>
    </row>
    <row r="111" spans="1:203" ht="20.25" customHeight="1">
      <c r="A111" s="114" t="s">
        <v>92</v>
      </c>
      <c r="B111" s="28">
        <v>132</v>
      </c>
      <c r="C111" s="28">
        <f>262+100</f>
        <v>362</v>
      </c>
      <c r="D111" s="28">
        <v>496</v>
      </c>
      <c r="E111" s="111">
        <f t="shared" si="2"/>
        <v>275.75757575757575</v>
      </c>
      <c r="F111" s="108">
        <f t="shared" si="3"/>
        <v>137.01657458563537</v>
      </c>
      <c r="G111" s="25">
        <v>100</v>
      </c>
      <c r="GU111" s="57"/>
    </row>
    <row r="112" spans="1:203" ht="20.25" customHeight="1">
      <c r="A112" s="114" t="s">
        <v>93</v>
      </c>
      <c r="B112" s="28">
        <v>28</v>
      </c>
      <c r="C112" s="28"/>
      <c r="D112" s="28">
        <v>21</v>
      </c>
      <c r="E112" s="111">
        <f t="shared" si="2"/>
        <v>-25</v>
      </c>
      <c r="F112" s="108"/>
      <c r="GU112" s="57"/>
    </row>
    <row r="113" spans="1:203" ht="20.25" customHeight="1">
      <c r="A113" s="114" t="s">
        <v>94</v>
      </c>
      <c r="B113" s="112">
        <f>SUM(B114:B122)</f>
        <v>5359</v>
      </c>
      <c r="C113" s="112">
        <f>SUM(C114:C122)</f>
        <v>4809</v>
      </c>
      <c r="D113" s="112">
        <f>SUM(D114:D122)</f>
        <v>5672</v>
      </c>
      <c r="E113" s="111">
        <f t="shared" si="2"/>
        <v>5.840641910804255</v>
      </c>
      <c r="F113" s="108">
        <f t="shared" si="3"/>
        <v>117.94551881888127</v>
      </c>
      <c r="GU113" s="57"/>
    </row>
    <row r="114" spans="1:203" ht="20.25" customHeight="1">
      <c r="A114" s="114" t="s">
        <v>35</v>
      </c>
      <c r="B114" s="28">
        <v>3202</v>
      </c>
      <c r="C114" s="28">
        <v>2652</v>
      </c>
      <c r="D114" s="28">
        <v>2855</v>
      </c>
      <c r="E114" s="111">
        <f t="shared" si="2"/>
        <v>-10.836976889444097</v>
      </c>
      <c r="F114" s="108">
        <f t="shared" si="3"/>
        <v>107.65460030165912</v>
      </c>
      <c r="GU114" s="57"/>
    </row>
    <row r="115" spans="1:203" ht="20.25" customHeight="1">
      <c r="A115" s="114" t="s">
        <v>36</v>
      </c>
      <c r="B115" s="28">
        <v>1372</v>
      </c>
      <c r="C115" s="28">
        <f>655+1042</f>
        <v>1697</v>
      </c>
      <c r="D115" s="28">
        <v>1860</v>
      </c>
      <c r="E115" s="111">
        <f t="shared" si="2"/>
        <v>35.56851311953353</v>
      </c>
      <c r="F115" s="108">
        <f t="shared" si="3"/>
        <v>109.60518562168534</v>
      </c>
      <c r="G115" s="25">
        <v>1042</v>
      </c>
      <c r="GU115" s="57"/>
    </row>
    <row r="116" spans="1:203" ht="20.25" customHeight="1">
      <c r="A116" s="114" t="s">
        <v>95</v>
      </c>
      <c r="B116" s="28">
        <v>277</v>
      </c>
      <c r="C116" s="28">
        <v>276</v>
      </c>
      <c r="D116" s="28">
        <v>276</v>
      </c>
      <c r="E116" s="111">
        <f t="shared" si="2"/>
        <v>-0.36101083032490977</v>
      </c>
      <c r="F116" s="108">
        <f t="shared" si="3"/>
        <v>100</v>
      </c>
      <c r="GU116" s="57"/>
    </row>
    <row r="117" spans="1:203" ht="20.25" customHeight="1">
      <c r="A117" s="114" t="s">
        <v>96</v>
      </c>
      <c r="B117" s="28">
        <v>20</v>
      </c>
      <c r="C117" s="28"/>
      <c r="D117" s="28"/>
      <c r="E117" s="111">
        <f t="shared" si="2"/>
        <v>-100</v>
      </c>
      <c r="F117" s="108"/>
      <c r="GU117" s="57"/>
    </row>
    <row r="118" spans="1:203" ht="20.25" customHeight="1">
      <c r="A118" s="114" t="s">
        <v>97</v>
      </c>
      <c r="B118" s="28">
        <v>365</v>
      </c>
      <c r="C118" s="28">
        <f>22+50</f>
        <v>72</v>
      </c>
      <c r="D118" s="28">
        <v>569</v>
      </c>
      <c r="E118" s="111">
        <f t="shared" si="2"/>
        <v>55.89041095890411</v>
      </c>
      <c r="F118" s="108">
        <f t="shared" si="3"/>
        <v>790.2777777777777</v>
      </c>
      <c r="G118" s="25">
        <v>50</v>
      </c>
      <c r="GU118" s="57"/>
    </row>
    <row r="119" spans="1:203" ht="20.25" customHeight="1">
      <c r="A119" s="114" t="s">
        <v>98</v>
      </c>
      <c r="B119" s="28"/>
      <c r="C119" s="28"/>
      <c r="D119" s="28"/>
      <c r="E119" s="111"/>
      <c r="F119" s="108"/>
      <c r="GU119" s="57"/>
    </row>
    <row r="120" spans="1:203" ht="20.25" customHeight="1">
      <c r="A120" s="114" t="s">
        <v>99</v>
      </c>
      <c r="B120" s="28">
        <v>10</v>
      </c>
      <c r="C120" s="28">
        <v>10</v>
      </c>
      <c r="D120" s="28">
        <v>10</v>
      </c>
      <c r="E120" s="111">
        <f t="shared" si="2"/>
        <v>0</v>
      </c>
      <c r="F120" s="108">
        <f t="shared" si="3"/>
        <v>100</v>
      </c>
      <c r="GU120" s="57"/>
    </row>
    <row r="121" spans="1:203" ht="20.25" customHeight="1">
      <c r="A121" s="114" t="s">
        <v>100</v>
      </c>
      <c r="B121" s="28">
        <v>11</v>
      </c>
      <c r="C121" s="28">
        <v>7</v>
      </c>
      <c r="D121" s="28">
        <v>12</v>
      </c>
      <c r="E121" s="111">
        <f t="shared" si="2"/>
        <v>9.090909090909092</v>
      </c>
      <c r="F121" s="108">
        <f t="shared" si="3"/>
        <v>171.42857142857142</v>
      </c>
      <c r="GU121" s="57"/>
    </row>
    <row r="122" spans="1:203" ht="20.25" customHeight="1">
      <c r="A122" s="114" t="s">
        <v>101</v>
      </c>
      <c r="B122" s="28">
        <v>102</v>
      </c>
      <c r="C122" s="28">
        <v>95</v>
      </c>
      <c r="D122" s="28">
        <v>90</v>
      </c>
      <c r="E122" s="111">
        <f t="shared" si="2"/>
        <v>-11.76470588235294</v>
      </c>
      <c r="F122" s="108">
        <f t="shared" si="3"/>
        <v>94.73684210526315</v>
      </c>
      <c r="GU122" s="57"/>
    </row>
    <row r="123" spans="1:203" ht="20.25" customHeight="1">
      <c r="A123" s="114" t="s">
        <v>102</v>
      </c>
      <c r="B123" s="113">
        <f>SUM(B124:B125)</f>
        <v>1067</v>
      </c>
      <c r="C123" s="113">
        <f>SUM(C124:C125)</f>
        <v>1114</v>
      </c>
      <c r="D123" s="113">
        <f>SUM(D124:D125)</f>
        <v>925</v>
      </c>
      <c r="E123" s="111">
        <f t="shared" si="2"/>
        <v>-13.30834114339269</v>
      </c>
      <c r="F123" s="108">
        <f t="shared" si="3"/>
        <v>83.03411131059246</v>
      </c>
      <c r="GU123" s="57"/>
    </row>
    <row r="124" spans="1:203" ht="20.25" customHeight="1">
      <c r="A124" s="114" t="s">
        <v>35</v>
      </c>
      <c r="B124" s="28">
        <v>480</v>
      </c>
      <c r="C124" s="28">
        <v>509</v>
      </c>
      <c r="D124" s="28">
        <v>515</v>
      </c>
      <c r="E124" s="111">
        <f t="shared" si="2"/>
        <v>7.291666666666667</v>
      </c>
      <c r="F124" s="108">
        <f t="shared" si="3"/>
        <v>101.17878192534381</v>
      </c>
      <c r="GU124" s="57"/>
    </row>
    <row r="125" spans="1:203" ht="20.25" customHeight="1">
      <c r="A125" s="114" t="s">
        <v>36</v>
      </c>
      <c r="B125" s="28">
        <v>587</v>
      </c>
      <c r="C125" s="28">
        <f>410+195</f>
        <v>605</v>
      </c>
      <c r="D125" s="28">
        <v>410</v>
      </c>
      <c r="E125" s="111">
        <f t="shared" si="2"/>
        <v>-30.153321976149915</v>
      </c>
      <c r="F125" s="108">
        <f t="shared" si="3"/>
        <v>67.76859504132231</v>
      </c>
      <c r="G125" s="25">
        <v>195</v>
      </c>
      <c r="GU125" s="57"/>
    </row>
    <row r="126" spans="1:203" ht="20.25" customHeight="1">
      <c r="A126" s="114" t="s">
        <v>103</v>
      </c>
      <c r="B126" s="113">
        <f>SUM(B127:B128)</f>
        <v>1065</v>
      </c>
      <c r="C126" s="113">
        <f>SUM(C127:C128)</f>
        <v>1244</v>
      </c>
      <c r="D126" s="113">
        <f>SUM(D127:D128)</f>
        <v>1191</v>
      </c>
      <c r="E126" s="111">
        <f t="shared" si="2"/>
        <v>11.830985915492958</v>
      </c>
      <c r="F126" s="108">
        <f t="shared" si="3"/>
        <v>95.7395498392283</v>
      </c>
      <c r="GU126" s="57"/>
    </row>
    <row r="127" spans="1:203" ht="20.25" customHeight="1">
      <c r="A127" s="114" t="s">
        <v>35</v>
      </c>
      <c r="B127" s="28">
        <v>681</v>
      </c>
      <c r="C127" s="28">
        <v>666</v>
      </c>
      <c r="D127" s="28">
        <v>702</v>
      </c>
      <c r="E127" s="111">
        <f t="shared" si="2"/>
        <v>3.0837004405286343</v>
      </c>
      <c r="F127" s="108">
        <f t="shared" si="3"/>
        <v>105.40540540540539</v>
      </c>
      <c r="GU127" s="57"/>
    </row>
    <row r="128" spans="1:203" ht="20.25" customHeight="1">
      <c r="A128" s="114" t="s">
        <v>36</v>
      </c>
      <c r="B128" s="28">
        <v>384</v>
      </c>
      <c r="C128" s="28">
        <f>289+289</f>
        <v>578</v>
      </c>
      <c r="D128" s="28">
        <v>489</v>
      </c>
      <c r="E128" s="111">
        <f t="shared" si="2"/>
        <v>27.34375</v>
      </c>
      <c r="F128" s="108">
        <f t="shared" si="3"/>
        <v>84.60207612456747</v>
      </c>
      <c r="G128" s="25">
        <v>289</v>
      </c>
      <c r="GU128" s="57"/>
    </row>
    <row r="129" spans="1:203" ht="20.25" customHeight="1">
      <c r="A129" s="114" t="s">
        <v>104</v>
      </c>
      <c r="B129" s="113">
        <f>SUM(B130:B135)</f>
        <v>655</v>
      </c>
      <c r="C129" s="113">
        <f>SUM(C130:C135)</f>
        <v>616</v>
      </c>
      <c r="D129" s="113">
        <f>SUM(D130:D135)</f>
        <v>566</v>
      </c>
      <c r="E129" s="111">
        <f t="shared" si="2"/>
        <v>-13.587786259541984</v>
      </c>
      <c r="F129" s="108">
        <f t="shared" si="3"/>
        <v>91.88311688311688</v>
      </c>
      <c r="GU129" s="57"/>
    </row>
    <row r="130" spans="1:203" ht="20.25" customHeight="1">
      <c r="A130" s="114" t="s">
        <v>35</v>
      </c>
      <c r="B130" s="28">
        <v>393</v>
      </c>
      <c r="C130" s="28">
        <v>363</v>
      </c>
      <c r="D130" s="28">
        <v>363</v>
      </c>
      <c r="E130" s="111">
        <f t="shared" si="2"/>
        <v>-7.633587786259542</v>
      </c>
      <c r="F130" s="108">
        <f t="shared" si="3"/>
        <v>100</v>
      </c>
      <c r="GU130" s="57"/>
    </row>
    <row r="131" spans="1:203" ht="28.5" customHeight="1">
      <c r="A131" s="114" t="s">
        <v>36</v>
      </c>
      <c r="B131" s="28">
        <v>134</v>
      </c>
      <c r="C131" s="28">
        <f>121+45</f>
        <v>166</v>
      </c>
      <c r="D131" s="28">
        <v>121</v>
      </c>
      <c r="E131" s="111">
        <f t="shared" si="2"/>
        <v>-9.701492537313433</v>
      </c>
      <c r="F131" s="108">
        <f t="shared" si="3"/>
        <v>72.89156626506023</v>
      </c>
      <c r="G131" s="25">
        <v>45</v>
      </c>
      <c r="GU131" s="57"/>
    </row>
    <row r="132" spans="1:203" ht="20.25" customHeight="1">
      <c r="A132" s="114" t="s">
        <v>105</v>
      </c>
      <c r="B132" s="28">
        <v>5</v>
      </c>
      <c r="C132" s="28">
        <v>5</v>
      </c>
      <c r="D132" s="28">
        <v>5</v>
      </c>
      <c r="E132" s="111">
        <f t="shared" si="2"/>
        <v>0</v>
      </c>
      <c r="F132" s="108">
        <f t="shared" si="3"/>
        <v>100</v>
      </c>
      <c r="GU132" s="57"/>
    </row>
    <row r="133" spans="1:203" ht="20.25" customHeight="1">
      <c r="A133" s="114" t="s">
        <v>106</v>
      </c>
      <c r="B133" s="28">
        <v>69</v>
      </c>
      <c r="C133" s="28">
        <v>43</v>
      </c>
      <c r="D133" s="28">
        <v>43</v>
      </c>
      <c r="E133" s="111">
        <f t="shared" si="2"/>
        <v>-37.68115942028986</v>
      </c>
      <c r="F133" s="108">
        <f t="shared" si="3"/>
        <v>100</v>
      </c>
      <c r="GU133" s="57"/>
    </row>
    <row r="134" spans="1:203" ht="20.25" customHeight="1">
      <c r="A134" s="114" t="s">
        <v>107</v>
      </c>
      <c r="B134" s="28">
        <v>26</v>
      </c>
      <c r="C134" s="28">
        <f>5+5</f>
        <v>10</v>
      </c>
      <c r="D134" s="28">
        <v>5</v>
      </c>
      <c r="E134" s="111">
        <f t="shared" si="2"/>
        <v>-80.76923076923077</v>
      </c>
      <c r="F134" s="108">
        <f aca="true" t="shared" si="4" ref="F134:F197">D134/C134*100</f>
        <v>50</v>
      </c>
      <c r="G134" s="25">
        <v>5</v>
      </c>
      <c r="GU134" s="57"/>
    </row>
    <row r="135" spans="1:203" ht="20.25" customHeight="1">
      <c r="A135" s="114" t="s">
        <v>46</v>
      </c>
      <c r="B135" s="28">
        <v>28</v>
      </c>
      <c r="C135" s="28">
        <v>29</v>
      </c>
      <c r="D135" s="28">
        <v>29</v>
      </c>
      <c r="E135" s="111">
        <f t="shared" si="2"/>
        <v>3.571428571428571</v>
      </c>
      <c r="F135" s="108">
        <f t="shared" si="4"/>
        <v>100</v>
      </c>
      <c r="GU135" s="57"/>
    </row>
    <row r="136" spans="1:203" ht="20.25" customHeight="1">
      <c r="A136" s="114" t="s">
        <v>108</v>
      </c>
      <c r="B136" s="112">
        <f>B137+B140+B147+B149+B151+B154+B157</f>
        <v>29369</v>
      </c>
      <c r="C136" s="112">
        <f>C137+C140+C147+C149+C151+C154+C157</f>
        <v>31303</v>
      </c>
      <c r="D136" s="112">
        <f>D137+D140+D147+D149+D151+D154+D157</f>
        <v>31745</v>
      </c>
      <c r="E136" s="111">
        <f t="shared" si="2"/>
        <v>8.090163097143247</v>
      </c>
      <c r="F136" s="108">
        <f t="shared" si="4"/>
        <v>101.41200523911446</v>
      </c>
      <c r="GU136" s="57"/>
    </row>
    <row r="137" spans="1:203" ht="20.25" customHeight="1">
      <c r="A137" s="114" t="s">
        <v>109</v>
      </c>
      <c r="B137" s="113">
        <f>SUM(B138:B139)</f>
        <v>120</v>
      </c>
      <c r="C137" s="113">
        <f>SUM(C138:C139)</f>
        <v>97</v>
      </c>
      <c r="D137" s="113">
        <f>SUM(D138:D139)</f>
        <v>96</v>
      </c>
      <c r="E137" s="111">
        <f aca="true" t="shared" si="5" ref="E137:E200">(D137-B137)/B137*100</f>
        <v>-20</v>
      </c>
      <c r="F137" s="108">
        <f t="shared" si="4"/>
        <v>98.96907216494846</v>
      </c>
      <c r="GU137" s="57"/>
    </row>
    <row r="138" spans="1:203" ht="20.25" customHeight="1">
      <c r="A138" s="114" t="s">
        <v>35</v>
      </c>
      <c r="B138" s="28">
        <v>120</v>
      </c>
      <c r="C138" s="28">
        <v>97</v>
      </c>
      <c r="D138" s="28">
        <v>96</v>
      </c>
      <c r="E138" s="111">
        <f t="shared" si="5"/>
        <v>-20</v>
      </c>
      <c r="F138" s="108">
        <f t="shared" si="4"/>
        <v>98.96907216494846</v>
      </c>
      <c r="GU138" s="57"/>
    </row>
    <row r="139" spans="1:203" ht="20.25" customHeight="1">
      <c r="A139" s="114" t="s">
        <v>36</v>
      </c>
      <c r="B139" s="28"/>
      <c r="C139" s="28"/>
      <c r="D139" s="28"/>
      <c r="E139" s="111"/>
      <c r="F139" s="108"/>
      <c r="GU139" s="57"/>
    </row>
    <row r="140" spans="1:203" ht="20.25" customHeight="1">
      <c r="A140" s="114" t="s">
        <v>110</v>
      </c>
      <c r="B140" s="112">
        <f>SUM(B141:B146)</f>
        <v>26546</v>
      </c>
      <c r="C140" s="112">
        <f>SUM(C141:C146)</f>
        <v>29049</v>
      </c>
      <c r="D140" s="112">
        <f>SUM(D141:D146)</f>
        <v>29095</v>
      </c>
      <c r="E140" s="111">
        <f t="shared" si="5"/>
        <v>9.60219995479545</v>
      </c>
      <c r="F140" s="108">
        <f t="shared" si="4"/>
        <v>100.15835312747427</v>
      </c>
      <c r="GU140" s="57"/>
    </row>
    <row r="141" spans="1:203" ht="20.25" customHeight="1">
      <c r="A141" s="114" t="s">
        <v>111</v>
      </c>
      <c r="B141" s="28">
        <v>509</v>
      </c>
      <c r="C141" s="28">
        <f>809+131</f>
        <v>940</v>
      </c>
      <c r="D141" s="28">
        <v>809</v>
      </c>
      <c r="E141" s="111">
        <f t="shared" si="5"/>
        <v>58.93909626719057</v>
      </c>
      <c r="F141" s="108">
        <f t="shared" si="4"/>
        <v>86.06382978723404</v>
      </c>
      <c r="G141" s="25">
        <v>131</v>
      </c>
      <c r="GU141" s="57"/>
    </row>
    <row r="142" spans="1:203" ht="20.25" customHeight="1">
      <c r="A142" s="114" t="s">
        <v>112</v>
      </c>
      <c r="B142" s="28">
        <v>10858</v>
      </c>
      <c r="C142" s="28">
        <f>8804+2572</f>
        <v>11376</v>
      </c>
      <c r="D142" s="28">
        <v>12629</v>
      </c>
      <c r="E142" s="111">
        <f t="shared" si="5"/>
        <v>16.31055442991343</v>
      </c>
      <c r="F142" s="108">
        <f t="shared" si="4"/>
        <v>111.01441631504923</v>
      </c>
      <c r="G142" s="25">
        <v>2572</v>
      </c>
      <c r="GU142" s="57"/>
    </row>
    <row r="143" spans="1:203" ht="20.25" customHeight="1">
      <c r="A143" s="114" t="s">
        <v>113</v>
      </c>
      <c r="B143" s="28">
        <v>7381</v>
      </c>
      <c r="C143" s="28">
        <f>7034+357</f>
        <v>7391</v>
      </c>
      <c r="D143" s="28">
        <v>7034</v>
      </c>
      <c r="E143" s="111">
        <f t="shared" si="5"/>
        <v>-4.70125999187102</v>
      </c>
      <c r="F143" s="108">
        <f t="shared" si="4"/>
        <v>95.16980110945745</v>
      </c>
      <c r="G143" s="25">
        <v>357</v>
      </c>
      <c r="GU143" s="57"/>
    </row>
    <row r="144" spans="1:203" ht="20.25" customHeight="1">
      <c r="A144" s="114" t="s">
        <v>114</v>
      </c>
      <c r="B144" s="28">
        <v>3080</v>
      </c>
      <c r="C144" s="28">
        <f>3139+32</f>
        <v>3171</v>
      </c>
      <c r="D144" s="28">
        <v>3139</v>
      </c>
      <c r="E144" s="111">
        <f t="shared" si="5"/>
        <v>1.9155844155844155</v>
      </c>
      <c r="F144" s="108">
        <f t="shared" si="4"/>
        <v>98.9908546199937</v>
      </c>
      <c r="G144" s="25">
        <v>32</v>
      </c>
      <c r="GU144" s="57"/>
    </row>
    <row r="145" spans="1:203" ht="20.25" customHeight="1">
      <c r="A145" s="114" t="s">
        <v>115</v>
      </c>
      <c r="B145" s="28">
        <v>5</v>
      </c>
      <c r="C145" s="28"/>
      <c r="D145" s="28"/>
      <c r="E145" s="111">
        <f t="shared" si="5"/>
        <v>-100</v>
      </c>
      <c r="F145" s="108"/>
      <c r="GU145" s="57"/>
    </row>
    <row r="146" spans="1:203" ht="20.25" customHeight="1">
      <c r="A146" s="114" t="s">
        <v>116</v>
      </c>
      <c r="B146" s="28">
        <v>4713</v>
      </c>
      <c r="C146" s="28">
        <f>1036+5135</f>
        <v>6171</v>
      </c>
      <c r="D146" s="28">
        <v>5484</v>
      </c>
      <c r="E146" s="111">
        <f t="shared" si="5"/>
        <v>16.35900700190961</v>
      </c>
      <c r="F146" s="108">
        <f t="shared" si="4"/>
        <v>88.86728245017015</v>
      </c>
      <c r="G146" s="25">
        <v>5135</v>
      </c>
      <c r="GU146" s="57"/>
    </row>
    <row r="147" spans="1:203" ht="20.25" customHeight="1">
      <c r="A147" s="114" t="s">
        <v>117</v>
      </c>
      <c r="B147" s="112">
        <f>B148</f>
        <v>883</v>
      </c>
      <c r="C147" s="112">
        <f>C148</f>
        <v>824</v>
      </c>
      <c r="D147" s="112">
        <f>D148</f>
        <v>1018</v>
      </c>
      <c r="E147" s="111">
        <f t="shared" si="5"/>
        <v>15.288788221970556</v>
      </c>
      <c r="F147" s="108">
        <f t="shared" si="4"/>
        <v>123.54368932038835</v>
      </c>
      <c r="GU147" s="57"/>
    </row>
    <row r="148" spans="1:203" ht="20.25" customHeight="1">
      <c r="A148" s="114" t="s">
        <v>118</v>
      </c>
      <c r="B148" s="28">
        <v>883</v>
      </c>
      <c r="C148" s="28">
        <f>654+170</f>
        <v>824</v>
      </c>
      <c r="D148" s="28">
        <v>1018</v>
      </c>
      <c r="E148" s="111">
        <f t="shared" si="5"/>
        <v>15.288788221970556</v>
      </c>
      <c r="F148" s="108">
        <f t="shared" si="4"/>
        <v>123.54368932038835</v>
      </c>
      <c r="G148" s="25">
        <v>170</v>
      </c>
      <c r="GU148" s="57"/>
    </row>
    <row r="149" spans="1:203" ht="20.25" customHeight="1">
      <c r="A149" s="114" t="s">
        <v>119</v>
      </c>
      <c r="B149" s="112">
        <f>B150</f>
        <v>142</v>
      </c>
      <c r="C149" s="112">
        <f>C150</f>
        <v>137</v>
      </c>
      <c r="D149" s="112">
        <f>D150</f>
        <v>185</v>
      </c>
      <c r="E149" s="111">
        <f t="shared" si="5"/>
        <v>30.28169014084507</v>
      </c>
      <c r="F149" s="108">
        <f t="shared" si="4"/>
        <v>135.03649635036496</v>
      </c>
      <c r="GU149" s="57"/>
    </row>
    <row r="150" spans="1:203" ht="20.25" customHeight="1">
      <c r="A150" s="114" t="s">
        <v>120</v>
      </c>
      <c r="B150" s="28">
        <v>142</v>
      </c>
      <c r="C150" s="28">
        <f>114+23</f>
        <v>137</v>
      </c>
      <c r="D150" s="28">
        <v>185</v>
      </c>
      <c r="E150" s="111">
        <f t="shared" si="5"/>
        <v>30.28169014084507</v>
      </c>
      <c r="F150" s="108">
        <f t="shared" si="4"/>
        <v>135.03649635036496</v>
      </c>
      <c r="G150" s="25">
        <v>23</v>
      </c>
      <c r="GU150" s="57"/>
    </row>
    <row r="151" spans="1:203" ht="20.25" customHeight="1">
      <c r="A151" s="114" t="s">
        <v>121</v>
      </c>
      <c r="B151" s="112">
        <f>SUM(B152:B153)</f>
        <v>535</v>
      </c>
      <c r="C151" s="112">
        <f>SUM(C152:C153)</f>
        <v>535</v>
      </c>
      <c r="D151" s="112">
        <f>SUM(D152:D153)</f>
        <v>542</v>
      </c>
      <c r="E151" s="111">
        <f t="shared" si="5"/>
        <v>1.3084112149532712</v>
      </c>
      <c r="F151" s="108">
        <f t="shared" si="4"/>
        <v>101.30841121495327</v>
      </c>
      <c r="GU151" s="57"/>
    </row>
    <row r="152" spans="1:203" ht="20.25" customHeight="1">
      <c r="A152" s="114" t="s">
        <v>122</v>
      </c>
      <c r="B152" s="28">
        <v>446</v>
      </c>
      <c r="C152" s="28">
        <v>436</v>
      </c>
      <c r="D152" s="28">
        <v>443</v>
      </c>
      <c r="E152" s="111">
        <f t="shared" si="5"/>
        <v>-0.672645739910314</v>
      </c>
      <c r="F152" s="108">
        <f t="shared" si="4"/>
        <v>101.60550458715596</v>
      </c>
      <c r="GU152" s="57"/>
    </row>
    <row r="153" spans="1:203" ht="20.25" customHeight="1">
      <c r="A153" s="114" t="s">
        <v>123</v>
      </c>
      <c r="B153" s="28">
        <v>89</v>
      </c>
      <c r="C153" s="28">
        <v>99</v>
      </c>
      <c r="D153" s="28">
        <v>99</v>
      </c>
      <c r="E153" s="111">
        <f t="shared" si="5"/>
        <v>11.235955056179774</v>
      </c>
      <c r="F153" s="108">
        <f t="shared" si="4"/>
        <v>100</v>
      </c>
      <c r="GU153" s="57"/>
    </row>
    <row r="154" spans="1:203" ht="20.25" customHeight="1">
      <c r="A154" s="114" t="s">
        <v>124</v>
      </c>
      <c r="B154" s="112">
        <f>SUM(B155:B156)</f>
        <v>1072</v>
      </c>
      <c r="C154" s="112">
        <f>SUM(C155:C156)</f>
        <v>590</v>
      </c>
      <c r="D154" s="112">
        <f>SUM(D155:D156)</f>
        <v>738</v>
      </c>
      <c r="E154" s="111">
        <f t="shared" si="5"/>
        <v>-31.156716417910445</v>
      </c>
      <c r="F154" s="108">
        <f t="shared" si="4"/>
        <v>125.08474576271186</v>
      </c>
      <c r="GU154" s="57"/>
    </row>
    <row r="155" spans="1:203" ht="20.25" customHeight="1">
      <c r="A155" s="27" t="s">
        <v>125</v>
      </c>
      <c r="B155" s="112">
        <v>326</v>
      </c>
      <c r="C155" s="112"/>
      <c r="D155" s="112"/>
      <c r="E155" s="111">
        <f t="shared" si="5"/>
        <v>-100</v>
      </c>
      <c r="F155" s="108"/>
      <c r="GU155" s="57"/>
    </row>
    <row r="156" spans="1:203" ht="20.25" customHeight="1">
      <c r="A156" s="114" t="s">
        <v>126</v>
      </c>
      <c r="B156" s="28">
        <v>746</v>
      </c>
      <c r="C156" s="28">
        <f>544+46</f>
        <v>590</v>
      </c>
      <c r="D156" s="28">
        <v>738</v>
      </c>
      <c r="E156" s="111">
        <f t="shared" si="5"/>
        <v>-1.0723860589812333</v>
      </c>
      <c r="F156" s="108">
        <f t="shared" si="4"/>
        <v>125.08474576271186</v>
      </c>
      <c r="G156" s="25">
        <v>46</v>
      </c>
      <c r="GU156" s="57"/>
    </row>
    <row r="157" spans="1:203" ht="20.25" customHeight="1">
      <c r="A157" s="114" t="s">
        <v>127</v>
      </c>
      <c r="B157" s="28">
        <f>B158</f>
        <v>71</v>
      </c>
      <c r="C157" s="28">
        <f>C158</f>
        <v>71</v>
      </c>
      <c r="D157" s="28">
        <f>D158</f>
        <v>71</v>
      </c>
      <c r="E157" s="111">
        <f t="shared" si="5"/>
        <v>0</v>
      </c>
      <c r="F157" s="108">
        <f t="shared" si="4"/>
        <v>100</v>
      </c>
      <c r="GU157" s="57"/>
    </row>
    <row r="158" spans="1:203" ht="20.25" customHeight="1">
      <c r="A158" s="114" t="s">
        <v>128</v>
      </c>
      <c r="B158" s="28">
        <v>71</v>
      </c>
      <c r="C158" s="28">
        <v>71</v>
      </c>
      <c r="D158" s="28">
        <v>71</v>
      </c>
      <c r="E158" s="111">
        <f t="shared" si="5"/>
        <v>0</v>
      </c>
      <c r="F158" s="108">
        <f t="shared" si="4"/>
        <v>100</v>
      </c>
      <c r="G158" s="25">
        <v>71</v>
      </c>
      <c r="GU158" s="57"/>
    </row>
    <row r="159" spans="1:203" ht="20.25" customHeight="1">
      <c r="A159" s="114" t="s">
        <v>129</v>
      </c>
      <c r="B159" s="112">
        <f>B160+B164+B167+B171</f>
        <v>300</v>
      </c>
      <c r="C159" s="112">
        <f>C160+C164+C167+C171</f>
        <v>242</v>
      </c>
      <c r="D159" s="112">
        <f>D160+D164+D167+D171</f>
        <v>244</v>
      </c>
      <c r="E159" s="111">
        <f t="shared" si="5"/>
        <v>-18.666666666666668</v>
      </c>
      <c r="F159" s="108">
        <f t="shared" si="4"/>
        <v>100.82644628099173</v>
      </c>
      <c r="GU159" s="57"/>
    </row>
    <row r="160" spans="1:203" ht="20.25" customHeight="1">
      <c r="A160" s="114" t="s">
        <v>130</v>
      </c>
      <c r="B160" s="112">
        <f>SUM(B161:B163)</f>
        <v>77</v>
      </c>
      <c r="C160" s="112">
        <f>SUM(C161:C163)</f>
        <v>63</v>
      </c>
      <c r="D160" s="112">
        <f>SUM(D161:D163)</f>
        <v>65</v>
      </c>
      <c r="E160" s="111">
        <f t="shared" si="5"/>
        <v>-15.584415584415584</v>
      </c>
      <c r="F160" s="108">
        <f t="shared" si="4"/>
        <v>103.17460317460319</v>
      </c>
      <c r="GU160" s="57"/>
    </row>
    <row r="161" spans="1:203" ht="20.25" customHeight="1">
      <c r="A161" s="114" t="s">
        <v>35</v>
      </c>
      <c r="B161" s="28">
        <v>67</v>
      </c>
      <c r="C161" s="28">
        <v>55</v>
      </c>
      <c r="D161" s="28">
        <v>57</v>
      </c>
      <c r="E161" s="111">
        <f t="shared" si="5"/>
        <v>-14.925373134328357</v>
      </c>
      <c r="F161" s="108">
        <f t="shared" si="4"/>
        <v>103.63636363636364</v>
      </c>
      <c r="GU161" s="57"/>
    </row>
    <row r="162" spans="1:203" ht="20.25" customHeight="1">
      <c r="A162" s="114" t="s">
        <v>36</v>
      </c>
      <c r="B162" s="28">
        <v>2</v>
      </c>
      <c r="C162" s="28"/>
      <c r="D162" s="28"/>
      <c r="E162" s="111">
        <f t="shared" si="5"/>
        <v>-100</v>
      </c>
      <c r="F162" s="108"/>
      <c r="GU162" s="57"/>
    </row>
    <row r="163" spans="1:203" ht="20.25" customHeight="1">
      <c r="A163" s="114" t="s">
        <v>131</v>
      </c>
      <c r="B163" s="28">
        <v>8</v>
      </c>
      <c r="C163" s="28">
        <v>8</v>
      </c>
      <c r="D163" s="28">
        <v>8</v>
      </c>
      <c r="E163" s="111">
        <f t="shared" si="5"/>
        <v>0</v>
      </c>
      <c r="F163" s="108">
        <f t="shared" si="4"/>
        <v>100</v>
      </c>
      <c r="GU163" s="57"/>
    </row>
    <row r="164" spans="1:203" ht="20.25" customHeight="1">
      <c r="A164" s="114" t="s">
        <v>132</v>
      </c>
      <c r="B164" s="112">
        <f>SUM(B165:B166)</f>
        <v>215</v>
      </c>
      <c r="C164" s="112">
        <v>172</v>
      </c>
      <c r="D164" s="112">
        <f>SUM(D165:D166)</f>
        <v>172</v>
      </c>
      <c r="E164" s="111">
        <f t="shared" si="5"/>
        <v>-20</v>
      </c>
      <c r="F164" s="108">
        <f t="shared" si="4"/>
        <v>100</v>
      </c>
      <c r="GU164" s="57"/>
    </row>
    <row r="165" spans="1:203" ht="20.25" customHeight="1">
      <c r="A165" s="114" t="s">
        <v>133</v>
      </c>
      <c r="B165" s="28">
        <v>215</v>
      </c>
      <c r="C165" s="28"/>
      <c r="D165" s="28">
        <v>172</v>
      </c>
      <c r="E165" s="111">
        <f t="shared" si="5"/>
        <v>-20</v>
      </c>
      <c r="F165" s="108"/>
      <c r="GU165" s="57"/>
    </row>
    <row r="166" spans="1:203" ht="20.25" customHeight="1">
      <c r="A166" s="114" t="s">
        <v>134</v>
      </c>
      <c r="B166" s="28"/>
      <c r="C166" s="28"/>
      <c r="D166" s="28"/>
      <c r="E166" s="111"/>
      <c r="F166" s="108"/>
      <c r="GU166" s="57"/>
    </row>
    <row r="167" spans="1:203" ht="20.25" customHeight="1">
      <c r="A167" s="114" t="s">
        <v>135</v>
      </c>
      <c r="B167" s="112">
        <f>SUM(B168:B170)</f>
        <v>8</v>
      </c>
      <c r="C167" s="112">
        <f>SUM(C168:C170)</f>
        <v>7</v>
      </c>
      <c r="D167" s="112">
        <f>SUM(D168:D170)</f>
        <v>7</v>
      </c>
      <c r="E167" s="111">
        <f t="shared" si="5"/>
        <v>-12.5</v>
      </c>
      <c r="F167" s="108">
        <f t="shared" si="4"/>
        <v>100</v>
      </c>
      <c r="GU167" s="57"/>
    </row>
    <row r="168" spans="1:203" ht="20.25" customHeight="1">
      <c r="A168" s="114" t="s">
        <v>136</v>
      </c>
      <c r="B168" s="28">
        <v>8</v>
      </c>
      <c r="C168" s="28">
        <v>7</v>
      </c>
      <c r="D168" s="28">
        <v>7</v>
      </c>
      <c r="E168" s="111">
        <f t="shared" si="5"/>
        <v>-12.5</v>
      </c>
      <c r="F168" s="108">
        <f t="shared" si="4"/>
        <v>100</v>
      </c>
      <c r="GU168" s="57"/>
    </row>
    <row r="169" spans="1:203" ht="20.25" customHeight="1">
      <c r="A169" s="114" t="s">
        <v>137</v>
      </c>
      <c r="B169" s="28"/>
      <c r="C169" s="28"/>
      <c r="D169" s="28"/>
      <c r="E169" s="111"/>
      <c r="F169" s="108"/>
      <c r="GU169" s="57"/>
    </row>
    <row r="170" spans="1:203" ht="20.25" customHeight="1">
      <c r="A170" s="114" t="s">
        <v>138</v>
      </c>
      <c r="B170" s="28"/>
      <c r="C170" s="28"/>
      <c r="D170" s="28"/>
      <c r="E170" s="111"/>
      <c r="F170" s="108"/>
      <c r="GU170" s="57"/>
    </row>
    <row r="171" spans="1:203" ht="20.25" customHeight="1">
      <c r="A171" s="114" t="s">
        <v>139</v>
      </c>
      <c r="B171" s="112">
        <f>B172</f>
        <v>0</v>
      </c>
      <c r="C171" s="112"/>
      <c r="D171" s="112">
        <f>D172</f>
        <v>0</v>
      </c>
      <c r="E171" s="111"/>
      <c r="F171" s="108"/>
      <c r="GU171" s="57"/>
    </row>
    <row r="172" spans="1:203" ht="20.25" customHeight="1">
      <c r="A172" s="114" t="s">
        <v>140</v>
      </c>
      <c r="B172" s="28"/>
      <c r="C172" s="28"/>
      <c r="D172" s="28"/>
      <c r="E172" s="111"/>
      <c r="F172" s="108"/>
      <c r="GU172" s="57"/>
    </row>
    <row r="173" spans="1:203" ht="20.25" customHeight="1">
      <c r="A173" s="114" t="s">
        <v>141</v>
      </c>
      <c r="B173" s="112">
        <f>B174+B181+B185+B187+B193</f>
        <v>3106</v>
      </c>
      <c r="C173" s="112">
        <f>C174+C181+C185+C187+C193</f>
        <v>3279</v>
      </c>
      <c r="D173" s="112">
        <f>D174+D181+D185+D187+D193</f>
        <v>3287</v>
      </c>
      <c r="E173" s="111">
        <f t="shared" si="5"/>
        <v>5.8274307791371545</v>
      </c>
      <c r="F173" s="108">
        <f t="shared" si="4"/>
        <v>100.2439768222019</v>
      </c>
      <c r="GU173" s="57"/>
    </row>
    <row r="174" spans="1:203" ht="20.25" customHeight="1">
      <c r="A174" s="114" t="s">
        <v>142</v>
      </c>
      <c r="B174" s="112">
        <f>SUM(B175:B180)</f>
        <v>388</v>
      </c>
      <c r="C174" s="112">
        <f>SUM(C175:C180)</f>
        <v>576</v>
      </c>
      <c r="D174" s="112">
        <f>SUM(D175:D180)</f>
        <v>499</v>
      </c>
      <c r="E174" s="111">
        <f t="shared" si="5"/>
        <v>28.60824742268041</v>
      </c>
      <c r="F174" s="108">
        <f t="shared" si="4"/>
        <v>86.63194444444444</v>
      </c>
      <c r="GU174" s="57"/>
    </row>
    <row r="175" spans="1:203" ht="20.25" customHeight="1">
      <c r="A175" s="114" t="s">
        <v>35</v>
      </c>
      <c r="B175" s="28">
        <v>90</v>
      </c>
      <c r="C175" s="28">
        <v>88</v>
      </c>
      <c r="D175" s="28">
        <v>88</v>
      </c>
      <c r="E175" s="111">
        <f t="shared" si="5"/>
        <v>-2.2222222222222223</v>
      </c>
      <c r="F175" s="108">
        <f t="shared" si="4"/>
        <v>100</v>
      </c>
      <c r="GU175" s="57"/>
    </row>
    <row r="176" spans="1:203" ht="20.25" customHeight="1">
      <c r="A176" s="114" t="s">
        <v>143</v>
      </c>
      <c r="B176" s="28">
        <v>54</v>
      </c>
      <c r="C176" s="28">
        <v>52</v>
      </c>
      <c r="D176" s="28">
        <v>52</v>
      </c>
      <c r="E176" s="111">
        <f t="shared" si="5"/>
        <v>-3.7037037037037033</v>
      </c>
      <c r="F176" s="108">
        <f t="shared" si="4"/>
        <v>100</v>
      </c>
      <c r="GU176" s="57"/>
    </row>
    <row r="177" spans="1:203" ht="20.25" customHeight="1">
      <c r="A177" s="114" t="s">
        <v>144</v>
      </c>
      <c r="B177" s="28">
        <v>91</v>
      </c>
      <c r="C177" s="28">
        <f>92+5</f>
        <v>97</v>
      </c>
      <c r="D177" s="28">
        <v>92</v>
      </c>
      <c r="E177" s="111">
        <f t="shared" si="5"/>
        <v>1.098901098901099</v>
      </c>
      <c r="F177" s="108">
        <f t="shared" si="4"/>
        <v>94.84536082474226</v>
      </c>
      <c r="G177" s="25">
        <v>5</v>
      </c>
      <c r="GU177" s="57"/>
    </row>
    <row r="178" spans="1:203" ht="20.25" customHeight="1">
      <c r="A178" s="114" t="s">
        <v>145</v>
      </c>
      <c r="B178" s="28"/>
      <c r="C178" s="28"/>
      <c r="D178" s="28"/>
      <c r="E178" s="111"/>
      <c r="F178" s="108"/>
      <c r="GU178" s="57"/>
    </row>
    <row r="179" spans="1:203" ht="20.25" customHeight="1">
      <c r="A179" s="114" t="s">
        <v>146</v>
      </c>
      <c r="B179" s="28">
        <v>34</v>
      </c>
      <c r="C179" s="28">
        <v>39</v>
      </c>
      <c r="D179" s="28">
        <v>39</v>
      </c>
      <c r="E179" s="111">
        <f t="shared" si="5"/>
        <v>14.705882352941178</v>
      </c>
      <c r="F179" s="108">
        <f t="shared" si="4"/>
        <v>100</v>
      </c>
      <c r="GU179" s="57"/>
    </row>
    <row r="180" spans="1:203" ht="20.25" customHeight="1">
      <c r="A180" s="114" t="s">
        <v>147</v>
      </c>
      <c r="B180" s="28">
        <v>119</v>
      </c>
      <c r="C180" s="28">
        <f>277+23</f>
        <v>300</v>
      </c>
      <c r="D180" s="28">
        <v>228</v>
      </c>
      <c r="E180" s="111">
        <f t="shared" si="5"/>
        <v>91.59663865546219</v>
      </c>
      <c r="F180" s="108">
        <f t="shared" si="4"/>
        <v>76</v>
      </c>
      <c r="G180" s="25">
        <v>23</v>
      </c>
      <c r="GU180" s="57"/>
    </row>
    <row r="181" spans="1:203" ht="20.25" customHeight="1">
      <c r="A181" s="114" t="s">
        <v>148</v>
      </c>
      <c r="B181" s="112">
        <f>SUM(B182:B184)</f>
        <v>1010</v>
      </c>
      <c r="C181" s="112">
        <f>SUM(C182:C184)</f>
        <v>1076</v>
      </c>
      <c r="D181" s="112">
        <f>SUM(D182:D184)</f>
        <v>1099</v>
      </c>
      <c r="E181" s="111">
        <f t="shared" si="5"/>
        <v>8.81188118811881</v>
      </c>
      <c r="F181" s="108">
        <f t="shared" si="4"/>
        <v>102.1375464684015</v>
      </c>
      <c r="GU181" s="57"/>
    </row>
    <row r="182" spans="1:203" ht="20.25" customHeight="1">
      <c r="A182" s="114" t="s">
        <v>35</v>
      </c>
      <c r="B182" s="28">
        <v>9</v>
      </c>
      <c r="C182" s="28">
        <v>9</v>
      </c>
      <c r="D182" s="28">
        <v>9</v>
      </c>
      <c r="E182" s="111">
        <f t="shared" si="5"/>
        <v>0</v>
      </c>
      <c r="F182" s="108">
        <f t="shared" si="4"/>
        <v>100</v>
      </c>
      <c r="GU182" s="57"/>
    </row>
    <row r="183" spans="1:203" ht="20.25" customHeight="1">
      <c r="A183" s="114" t="s">
        <v>149</v>
      </c>
      <c r="B183" s="28">
        <v>296</v>
      </c>
      <c r="C183" s="28">
        <f>5+316</f>
        <v>321</v>
      </c>
      <c r="D183" s="28">
        <v>321</v>
      </c>
      <c r="E183" s="111">
        <f t="shared" si="5"/>
        <v>8.445945945945946</v>
      </c>
      <c r="F183" s="108">
        <f t="shared" si="4"/>
        <v>100</v>
      </c>
      <c r="G183" s="25">
        <v>316</v>
      </c>
      <c r="GU183" s="57"/>
    </row>
    <row r="184" spans="1:203" ht="20.25" customHeight="1">
      <c r="A184" s="114" t="s">
        <v>150</v>
      </c>
      <c r="B184" s="28">
        <v>705</v>
      </c>
      <c r="C184" s="28">
        <v>746</v>
      </c>
      <c r="D184" s="28">
        <v>769</v>
      </c>
      <c r="E184" s="111">
        <f t="shared" si="5"/>
        <v>9.078014184397164</v>
      </c>
      <c r="F184" s="108">
        <f t="shared" si="4"/>
        <v>103.08310991957103</v>
      </c>
      <c r="GU184" s="57"/>
    </row>
    <row r="185" spans="1:203" ht="20.25" customHeight="1">
      <c r="A185" s="114" t="s">
        <v>151</v>
      </c>
      <c r="B185" s="112">
        <f>B186</f>
        <v>8</v>
      </c>
      <c r="C185" s="112">
        <f>C186</f>
        <v>8</v>
      </c>
      <c r="D185" s="112">
        <f>D186</f>
        <v>8</v>
      </c>
      <c r="E185" s="111">
        <f t="shared" si="5"/>
        <v>0</v>
      </c>
      <c r="F185" s="108">
        <f t="shared" si="4"/>
        <v>100</v>
      </c>
      <c r="GU185" s="57"/>
    </row>
    <row r="186" spans="1:203" ht="20.25" customHeight="1">
      <c r="A186" s="114" t="s">
        <v>152</v>
      </c>
      <c r="B186" s="28">
        <v>8</v>
      </c>
      <c r="C186" s="28">
        <v>8</v>
      </c>
      <c r="D186" s="28">
        <v>8</v>
      </c>
      <c r="E186" s="111">
        <f t="shared" si="5"/>
        <v>0</v>
      </c>
      <c r="F186" s="108">
        <f t="shared" si="4"/>
        <v>100</v>
      </c>
      <c r="GU186" s="57"/>
    </row>
    <row r="187" spans="1:203" ht="20.25" customHeight="1">
      <c r="A187" s="114" t="s">
        <v>153</v>
      </c>
      <c r="B187" s="112">
        <f>SUM(B188:B192)</f>
        <v>1637</v>
      </c>
      <c r="C187" s="112">
        <f>SUM(C188:C192)</f>
        <v>1552</v>
      </c>
      <c r="D187" s="112">
        <f>SUM(D188:D192)</f>
        <v>1580</v>
      </c>
      <c r="E187" s="111">
        <f t="shared" si="5"/>
        <v>-3.481979230299328</v>
      </c>
      <c r="F187" s="108">
        <f t="shared" si="4"/>
        <v>101.8041237113402</v>
      </c>
      <c r="GU187" s="57"/>
    </row>
    <row r="188" spans="1:203" ht="20.25" customHeight="1">
      <c r="A188" s="114" t="s">
        <v>35</v>
      </c>
      <c r="B188" s="28">
        <v>99</v>
      </c>
      <c r="C188" s="28">
        <v>101</v>
      </c>
      <c r="D188" s="28">
        <v>102</v>
      </c>
      <c r="E188" s="111">
        <f t="shared" si="5"/>
        <v>3.0303030303030303</v>
      </c>
      <c r="F188" s="108">
        <f t="shared" si="4"/>
        <v>100.99009900990099</v>
      </c>
      <c r="GU188" s="57"/>
    </row>
    <row r="189" spans="1:203" ht="20.25" customHeight="1">
      <c r="A189" s="114" t="s">
        <v>154</v>
      </c>
      <c r="B189" s="28">
        <v>1504</v>
      </c>
      <c r="C189" s="28">
        <v>1421</v>
      </c>
      <c r="D189" s="28">
        <v>1449</v>
      </c>
      <c r="E189" s="111">
        <f t="shared" si="5"/>
        <v>-3.6569148936170213</v>
      </c>
      <c r="F189" s="108">
        <f t="shared" si="4"/>
        <v>101.9704433497537</v>
      </c>
      <c r="GU189" s="57"/>
    </row>
    <row r="190" spans="1:203" ht="20.25" customHeight="1">
      <c r="A190" s="27" t="s">
        <v>155</v>
      </c>
      <c r="B190" s="28">
        <v>26</v>
      </c>
      <c r="C190" s="28"/>
      <c r="D190" s="28"/>
      <c r="E190" s="111">
        <f t="shared" si="5"/>
        <v>-100</v>
      </c>
      <c r="F190" s="108"/>
      <c r="GU190" s="57"/>
    </row>
    <row r="191" spans="1:203" ht="20.25" customHeight="1">
      <c r="A191" s="114" t="s">
        <v>156</v>
      </c>
      <c r="B191" s="28"/>
      <c r="C191" s="28">
        <v>22</v>
      </c>
      <c r="D191" s="28">
        <v>21</v>
      </c>
      <c r="E191" s="111"/>
      <c r="F191" s="108">
        <f t="shared" si="4"/>
        <v>95.45454545454545</v>
      </c>
      <c r="G191" s="25">
        <v>22</v>
      </c>
      <c r="GU191" s="57"/>
    </row>
    <row r="192" spans="1:203" ht="20.25" customHeight="1">
      <c r="A192" s="115" t="s">
        <v>157</v>
      </c>
      <c r="B192" s="28">
        <v>8</v>
      </c>
      <c r="C192" s="28">
        <v>8</v>
      </c>
      <c r="D192" s="28">
        <v>8</v>
      </c>
      <c r="E192" s="111">
        <f t="shared" si="5"/>
        <v>0</v>
      </c>
      <c r="F192" s="108">
        <f t="shared" si="4"/>
        <v>100</v>
      </c>
      <c r="G192" s="25">
        <v>8</v>
      </c>
      <c r="GU192" s="57"/>
    </row>
    <row r="193" spans="1:203" ht="20.25" customHeight="1">
      <c r="A193" s="114" t="s">
        <v>158</v>
      </c>
      <c r="B193" s="112">
        <f>B194</f>
        <v>63</v>
      </c>
      <c r="C193" s="112">
        <f>C194</f>
        <v>67</v>
      </c>
      <c r="D193" s="112">
        <f>D194</f>
        <v>101</v>
      </c>
      <c r="E193" s="111">
        <f t="shared" si="5"/>
        <v>60.317460317460316</v>
      </c>
      <c r="F193" s="108">
        <f t="shared" si="4"/>
        <v>150.7462686567164</v>
      </c>
      <c r="GU193" s="57"/>
    </row>
    <row r="194" spans="1:203" ht="20.25" customHeight="1">
      <c r="A194" s="114" t="s">
        <v>159</v>
      </c>
      <c r="B194" s="28">
        <v>63</v>
      </c>
      <c r="C194" s="28">
        <v>67</v>
      </c>
      <c r="D194" s="28">
        <v>101</v>
      </c>
      <c r="E194" s="111">
        <f t="shared" si="5"/>
        <v>60.317460317460316</v>
      </c>
      <c r="F194" s="108">
        <f t="shared" si="4"/>
        <v>150.7462686567164</v>
      </c>
      <c r="G194" s="25">
        <v>67</v>
      </c>
      <c r="GU194" s="57"/>
    </row>
    <row r="195" spans="1:203" ht="20.25" customHeight="1">
      <c r="A195" s="114" t="s">
        <v>160</v>
      </c>
      <c r="B195" s="112">
        <f>B196+B202+B210+B213+B219+B221+B224+B228+B232+B238+B245+B248+B251+B254+B257+B259+B262+B264</f>
        <v>32309</v>
      </c>
      <c r="C195" s="112">
        <f>C196+C202+C210+C213+C219+C221+C224+C228+C232+C238+C245+C248+C251+C254+C257+C259+C262+C264</f>
        <v>38427</v>
      </c>
      <c r="D195" s="112">
        <f>D196+D202+D210+D213+D219+D221+D224+D228+D232+D238+D245+D248+D251+D254+D257+D259+D262+D264</f>
        <v>34808</v>
      </c>
      <c r="E195" s="111">
        <f t="shared" si="5"/>
        <v>7.734686929338574</v>
      </c>
      <c r="F195" s="108">
        <f t="shared" si="4"/>
        <v>90.58214276420226</v>
      </c>
      <c r="GU195" s="57"/>
    </row>
    <row r="196" spans="1:203" ht="20.25" customHeight="1">
      <c r="A196" s="114" t="s">
        <v>161</v>
      </c>
      <c r="B196" s="112">
        <f>SUM(B197:B201)</f>
        <v>546</v>
      </c>
      <c r="C196" s="112">
        <f>SUM(C197:C201)</f>
        <v>677</v>
      </c>
      <c r="D196" s="112">
        <f>SUM(D197:D201)</f>
        <v>677</v>
      </c>
      <c r="E196" s="111">
        <f t="shared" si="5"/>
        <v>23.992673992673993</v>
      </c>
      <c r="F196" s="108">
        <f t="shared" si="4"/>
        <v>100</v>
      </c>
      <c r="GU196" s="57"/>
    </row>
    <row r="197" spans="1:203" ht="20.25" customHeight="1">
      <c r="A197" s="114" t="s">
        <v>35</v>
      </c>
      <c r="B197" s="28">
        <v>145</v>
      </c>
      <c r="C197" s="28">
        <v>131</v>
      </c>
      <c r="D197" s="28">
        <v>131</v>
      </c>
      <c r="E197" s="111">
        <f t="shared" si="5"/>
        <v>-9.655172413793103</v>
      </c>
      <c r="F197" s="108">
        <f t="shared" si="4"/>
        <v>100</v>
      </c>
      <c r="GU197" s="57"/>
    </row>
    <row r="198" spans="1:203" ht="20.25" customHeight="1">
      <c r="A198" s="114" t="s">
        <v>36</v>
      </c>
      <c r="B198" s="28">
        <v>162</v>
      </c>
      <c r="C198" s="28">
        <v>313</v>
      </c>
      <c r="D198" s="28">
        <v>313</v>
      </c>
      <c r="E198" s="111">
        <f t="shared" si="5"/>
        <v>93.20987654320987</v>
      </c>
      <c r="F198" s="108">
        <f aca="true" t="shared" si="6" ref="F198:F261">D198/C198*100</f>
        <v>100</v>
      </c>
      <c r="GU198" s="57"/>
    </row>
    <row r="199" spans="1:203" ht="20.25" customHeight="1">
      <c r="A199" s="114" t="s">
        <v>162</v>
      </c>
      <c r="B199" s="28">
        <v>10</v>
      </c>
      <c r="C199" s="28">
        <v>7</v>
      </c>
      <c r="D199" s="28">
        <v>7</v>
      </c>
      <c r="E199" s="111">
        <f t="shared" si="5"/>
        <v>-30</v>
      </c>
      <c r="F199" s="108">
        <f t="shared" si="6"/>
        <v>100</v>
      </c>
      <c r="GU199" s="57"/>
    </row>
    <row r="200" spans="1:203" ht="20.25" customHeight="1">
      <c r="A200" s="114" t="s">
        <v>163</v>
      </c>
      <c r="B200" s="28">
        <v>143</v>
      </c>
      <c r="C200" s="28">
        <v>137</v>
      </c>
      <c r="D200" s="28">
        <v>137</v>
      </c>
      <c r="E200" s="111">
        <f t="shared" si="5"/>
        <v>-4.195804195804196</v>
      </c>
      <c r="F200" s="108">
        <f t="shared" si="6"/>
        <v>100</v>
      </c>
      <c r="GU200" s="57"/>
    </row>
    <row r="201" spans="1:203" ht="20.25" customHeight="1">
      <c r="A201" s="114" t="s">
        <v>164</v>
      </c>
      <c r="B201" s="28">
        <v>86</v>
      </c>
      <c r="C201" s="28">
        <v>89</v>
      </c>
      <c r="D201" s="28">
        <v>89</v>
      </c>
      <c r="E201" s="111">
        <f aca="true" t="shared" si="7" ref="E201:E270">(D201-B201)/B201*100</f>
        <v>3.488372093023256</v>
      </c>
      <c r="F201" s="108">
        <f t="shared" si="6"/>
        <v>100</v>
      </c>
      <c r="GU201" s="57"/>
    </row>
    <row r="202" spans="1:203" ht="20.25" customHeight="1">
      <c r="A202" s="114" t="s">
        <v>165</v>
      </c>
      <c r="B202" s="112">
        <f>SUM(B203:B209)</f>
        <v>1101</v>
      </c>
      <c r="C202" s="112">
        <f>SUM(C203:C209)</f>
        <v>481</v>
      </c>
      <c r="D202" s="112">
        <f>SUM(D203:D209)</f>
        <v>400</v>
      </c>
      <c r="E202" s="111">
        <f t="shared" si="7"/>
        <v>-63.66939146230699</v>
      </c>
      <c r="F202" s="108">
        <f t="shared" si="6"/>
        <v>83.16008316008316</v>
      </c>
      <c r="GU202" s="57"/>
    </row>
    <row r="203" spans="1:203" ht="20.25" customHeight="1">
      <c r="A203" s="114" t="s">
        <v>35</v>
      </c>
      <c r="B203" s="28">
        <v>117</v>
      </c>
      <c r="C203" s="28">
        <v>117</v>
      </c>
      <c r="D203" s="28">
        <v>117</v>
      </c>
      <c r="E203" s="111">
        <f t="shared" si="7"/>
        <v>0</v>
      </c>
      <c r="F203" s="108">
        <f t="shared" si="6"/>
        <v>100</v>
      </c>
      <c r="GU203" s="57"/>
    </row>
    <row r="204" spans="1:203" ht="20.25" customHeight="1">
      <c r="A204" s="114" t="s">
        <v>36</v>
      </c>
      <c r="B204" s="28">
        <v>1</v>
      </c>
      <c r="C204" s="28">
        <v>59</v>
      </c>
      <c r="D204" s="28">
        <v>59</v>
      </c>
      <c r="E204" s="111">
        <f t="shared" si="7"/>
        <v>5800</v>
      </c>
      <c r="F204" s="108">
        <f t="shared" si="6"/>
        <v>100</v>
      </c>
      <c r="GU204" s="57"/>
    </row>
    <row r="205" spans="1:203" ht="20.25" customHeight="1">
      <c r="A205" s="114" t="s">
        <v>166</v>
      </c>
      <c r="B205" s="28">
        <v>15</v>
      </c>
      <c r="C205" s="28">
        <f>22+1</f>
        <v>23</v>
      </c>
      <c r="D205" s="28">
        <v>22</v>
      </c>
      <c r="E205" s="111">
        <f t="shared" si="7"/>
        <v>46.666666666666664</v>
      </c>
      <c r="F205" s="108">
        <f t="shared" si="6"/>
        <v>95.65217391304348</v>
      </c>
      <c r="G205" s="25">
        <v>1</v>
      </c>
      <c r="GU205" s="57"/>
    </row>
    <row r="206" spans="1:203" ht="20.25" customHeight="1">
      <c r="A206" s="114" t="s">
        <v>167</v>
      </c>
      <c r="B206" s="28">
        <v>39</v>
      </c>
      <c r="C206" s="28">
        <v>39</v>
      </c>
      <c r="D206" s="28">
        <v>39</v>
      </c>
      <c r="E206" s="111">
        <f t="shared" si="7"/>
        <v>0</v>
      </c>
      <c r="F206" s="108">
        <f t="shared" si="6"/>
        <v>100</v>
      </c>
      <c r="GU206" s="57"/>
    </row>
    <row r="207" spans="1:203" ht="20.25" customHeight="1">
      <c r="A207" s="114" t="s">
        <v>168</v>
      </c>
      <c r="B207" s="28">
        <v>13</v>
      </c>
      <c r="C207" s="28">
        <f>10+10</f>
        <v>20</v>
      </c>
      <c r="D207" s="28">
        <v>10</v>
      </c>
      <c r="E207" s="111">
        <f t="shared" si="7"/>
        <v>-23.076923076923077</v>
      </c>
      <c r="F207" s="108">
        <f t="shared" si="6"/>
        <v>50</v>
      </c>
      <c r="G207" s="25">
        <v>10</v>
      </c>
      <c r="GU207" s="57"/>
    </row>
    <row r="208" spans="1:203" ht="20.25" customHeight="1">
      <c r="A208" s="114" t="s">
        <v>169</v>
      </c>
      <c r="B208" s="28">
        <v>825</v>
      </c>
      <c r="C208" s="28">
        <f>44+44</f>
        <v>88</v>
      </c>
      <c r="D208" s="28">
        <v>44</v>
      </c>
      <c r="E208" s="111">
        <f t="shared" si="7"/>
        <v>-94.66666666666667</v>
      </c>
      <c r="F208" s="108">
        <f t="shared" si="6"/>
        <v>50</v>
      </c>
      <c r="G208" s="25">
        <v>44</v>
      </c>
      <c r="GU208" s="57"/>
    </row>
    <row r="209" spans="1:203" ht="20.25" customHeight="1">
      <c r="A209" s="114" t="s">
        <v>170</v>
      </c>
      <c r="B209" s="28">
        <v>91</v>
      </c>
      <c r="C209" s="28">
        <f>109+26</f>
        <v>135</v>
      </c>
      <c r="D209" s="28">
        <v>109</v>
      </c>
      <c r="E209" s="111">
        <f t="shared" si="7"/>
        <v>19.78021978021978</v>
      </c>
      <c r="F209" s="108">
        <f t="shared" si="6"/>
        <v>80.74074074074075</v>
      </c>
      <c r="G209" s="25">
        <v>26</v>
      </c>
      <c r="GU209" s="57"/>
    </row>
    <row r="210" spans="1:203" ht="20.25" customHeight="1">
      <c r="A210" s="114" t="s">
        <v>171</v>
      </c>
      <c r="B210" s="112">
        <f>SUM(B211:B212)</f>
        <v>5801</v>
      </c>
      <c r="C210" s="112">
        <f>SUM(C211:C212)</f>
        <v>0</v>
      </c>
      <c r="D210" s="112">
        <f>SUM(D211:D212)</f>
        <v>0</v>
      </c>
      <c r="E210" s="111">
        <f t="shared" si="7"/>
        <v>-100</v>
      </c>
      <c r="F210" s="108"/>
      <c r="GU210" s="57"/>
    </row>
    <row r="211" spans="1:203" ht="20.25" customHeight="1">
      <c r="A211" s="114" t="s">
        <v>172</v>
      </c>
      <c r="B211" s="28">
        <v>4261</v>
      </c>
      <c r="C211" s="28"/>
      <c r="D211" s="28"/>
      <c r="E211" s="111">
        <f t="shared" si="7"/>
        <v>-100</v>
      </c>
      <c r="F211" s="108"/>
      <c r="GU211" s="57"/>
    </row>
    <row r="212" spans="1:203" ht="20.25" customHeight="1">
      <c r="A212" s="115" t="s">
        <v>173</v>
      </c>
      <c r="B212" s="28">
        <v>1540</v>
      </c>
      <c r="C212" s="28"/>
      <c r="D212" s="28"/>
      <c r="E212" s="111">
        <f t="shared" si="7"/>
        <v>-100</v>
      </c>
      <c r="F212" s="108"/>
      <c r="GU212" s="57"/>
    </row>
    <row r="213" spans="1:203" ht="20.25" customHeight="1">
      <c r="A213" s="114" t="s">
        <v>174</v>
      </c>
      <c r="B213" s="112">
        <f>SUM(B214:B218)</f>
        <v>16727</v>
      </c>
      <c r="C213" s="112">
        <f>SUM(C214:C218)</f>
        <v>18483</v>
      </c>
      <c r="D213" s="112">
        <f>SUM(D214:D218)</f>
        <v>19843</v>
      </c>
      <c r="E213" s="111">
        <f t="shared" si="7"/>
        <v>18.628564596161894</v>
      </c>
      <c r="F213" s="108">
        <f t="shared" si="6"/>
        <v>107.35811286046638</v>
      </c>
      <c r="GU213" s="57"/>
    </row>
    <row r="214" spans="1:203" ht="20.25" customHeight="1">
      <c r="A214" s="114" t="s">
        <v>175</v>
      </c>
      <c r="B214" s="28">
        <v>5227</v>
      </c>
      <c r="C214" s="28">
        <v>4687</v>
      </c>
      <c r="D214" s="28">
        <v>4256</v>
      </c>
      <c r="E214" s="111">
        <f t="shared" si="7"/>
        <v>-18.576621388942034</v>
      </c>
      <c r="F214" s="108">
        <f t="shared" si="6"/>
        <v>90.80435246426285</v>
      </c>
      <c r="GU214" s="57"/>
    </row>
    <row r="215" spans="1:203" ht="20.25" customHeight="1">
      <c r="A215" s="114" t="s">
        <v>176</v>
      </c>
      <c r="B215" s="28">
        <v>11491</v>
      </c>
      <c r="C215" s="28">
        <v>11324</v>
      </c>
      <c r="D215" s="28">
        <v>10291</v>
      </c>
      <c r="E215" s="111">
        <f t="shared" si="7"/>
        <v>-10.442955356365852</v>
      </c>
      <c r="F215" s="108">
        <f t="shared" si="6"/>
        <v>90.8777817025786</v>
      </c>
      <c r="GU215" s="57"/>
    </row>
    <row r="216" spans="1:203" ht="20.25" customHeight="1">
      <c r="A216" s="115" t="s">
        <v>587</v>
      </c>
      <c r="B216" s="28"/>
      <c r="C216" s="28"/>
      <c r="D216" s="28">
        <v>1723</v>
      </c>
      <c r="E216" s="111"/>
      <c r="F216" s="108"/>
      <c r="GU216" s="57"/>
    </row>
    <row r="217" spans="1:203" ht="20.25" customHeight="1">
      <c r="A217" s="115" t="s">
        <v>588</v>
      </c>
      <c r="B217" s="28"/>
      <c r="C217" s="28">
        <f>1618+848</f>
        <v>2466</v>
      </c>
      <c r="D217" s="28">
        <v>3566</v>
      </c>
      <c r="E217" s="111"/>
      <c r="F217" s="108">
        <f t="shared" si="6"/>
        <v>144.6066504460665</v>
      </c>
      <c r="G217" s="25">
        <v>848</v>
      </c>
      <c r="GU217" s="57"/>
    </row>
    <row r="218" spans="1:203" ht="20.25" customHeight="1">
      <c r="A218" s="114" t="s">
        <v>177</v>
      </c>
      <c r="B218" s="28">
        <v>9</v>
      </c>
      <c r="C218" s="28">
        <v>6</v>
      </c>
      <c r="D218" s="28">
        <v>7</v>
      </c>
      <c r="E218" s="111">
        <f>(D218-B218)/B218*100</f>
        <v>-22.22222222222222</v>
      </c>
      <c r="F218" s="108">
        <f t="shared" si="6"/>
        <v>116.66666666666667</v>
      </c>
      <c r="GU218" s="57"/>
    </row>
    <row r="219" spans="1:203" ht="20.25" customHeight="1">
      <c r="A219" s="114" t="s">
        <v>178</v>
      </c>
      <c r="B219" s="112">
        <f>B220</f>
        <v>447</v>
      </c>
      <c r="C219" s="112">
        <f>C220</f>
        <v>111</v>
      </c>
      <c r="D219" s="112">
        <f>D220</f>
        <v>447</v>
      </c>
      <c r="E219" s="111">
        <f t="shared" si="7"/>
        <v>0</v>
      </c>
      <c r="F219" s="108">
        <f t="shared" si="6"/>
        <v>402.7027027027027</v>
      </c>
      <c r="GU219" s="57"/>
    </row>
    <row r="220" spans="1:203" ht="20.25" customHeight="1">
      <c r="A220" s="114" t="s">
        <v>179</v>
      </c>
      <c r="B220" s="28">
        <v>447</v>
      </c>
      <c r="C220" s="28">
        <v>111</v>
      </c>
      <c r="D220" s="28">
        <v>447</v>
      </c>
      <c r="E220" s="111">
        <f t="shared" si="7"/>
        <v>0</v>
      </c>
      <c r="F220" s="108">
        <f t="shared" si="6"/>
        <v>402.7027027027027</v>
      </c>
      <c r="GU220" s="57"/>
    </row>
    <row r="221" spans="1:203" ht="20.25" customHeight="1">
      <c r="A221" s="114" t="s">
        <v>180</v>
      </c>
      <c r="B221" s="112">
        <f>SUM(B222:B223)</f>
        <v>74</v>
      </c>
      <c r="C221" s="112">
        <f>SUM(C222:C223)</f>
        <v>1050</v>
      </c>
      <c r="D221" s="112">
        <f>SUM(D222:D223)</f>
        <v>998</v>
      </c>
      <c r="E221" s="111">
        <f>(D221-B221)/B221*100</f>
        <v>1248.6486486486485</v>
      </c>
      <c r="F221" s="108">
        <f t="shared" si="6"/>
        <v>95.04761904761905</v>
      </c>
      <c r="GU221" s="57"/>
    </row>
    <row r="222" spans="1:203" ht="20.25" customHeight="1">
      <c r="A222" s="114" t="s">
        <v>181</v>
      </c>
      <c r="B222" s="28">
        <v>74</v>
      </c>
      <c r="C222" s="28">
        <v>1050</v>
      </c>
      <c r="D222" s="28">
        <v>998</v>
      </c>
      <c r="E222" s="111">
        <f t="shared" si="7"/>
        <v>1248.6486486486485</v>
      </c>
      <c r="F222" s="108">
        <f t="shared" si="6"/>
        <v>95.04761904761905</v>
      </c>
      <c r="GU222" s="57"/>
    </row>
    <row r="223" spans="1:203" ht="20.25" customHeight="1">
      <c r="A223" s="114" t="s">
        <v>182</v>
      </c>
      <c r="B223" s="28"/>
      <c r="C223" s="28"/>
      <c r="D223" s="28"/>
      <c r="E223" s="111"/>
      <c r="F223" s="108"/>
      <c r="GU223" s="57"/>
    </row>
    <row r="224" spans="1:203" ht="20.25" customHeight="1">
      <c r="A224" s="114" t="s">
        <v>183</v>
      </c>
      <c r="B224" s="112">
        <f>SUM(B225:B227)</f>
        <v>1319</v>
      </c>
      <c r="C224" s="112">
        <f>SUM(C225:C227)</f>
        <v>1911</v>
      </c>
      <c r="D224" s="112">
        <f>SUM(D225:D227)</f>
        <v>1600</v>
      </c>
      <c r="E224" s="111">
        <f t="shared" si="7"/>
        <v>21.30401819560273</v>
      </c>
      <c r="F224" s="108">
        <f t="shared" si="6"/>
        <v>83.7257980115123</v>
      </c>
      <c r="GU224" s="57"/>
    </row>
    <row r="225" spans="1:203" ht="20.25" customHeight="1">
      <c r="A225" s="114" t="s">
        <v>184</v>
      </c>
      <c r="B225" s="28">
        <v>146</v>
      </c>
      <c r="C225" s="28">
        <v>515</v>
      </c>
      <c r="D225" s="28">
        <v>321</v>
      </c>
      <c r="E225" s="111">
        <f t="shared" si="7"/>
        <v>119.86301369863013</v>
      </c>
      <c r="F225" s="108">
        <f t="shared" si="6"/>
        <v>62.33009708737865</v>
      </c>
      <c r="GU225" s="57"/>
    </row>
    <row r="226" spans="1:203" ht="20.25" customHeight="1">
      <c r="A226" s="114" t="s">
        <v>185</v>
      </c>
      <c r="B226" s="28">
        <v>240</v>
      </c>
      <c r="C226" s="28">
        <f>236+189</f>
        <v>425</v>
      </c>
      <c r="D226" s="28">
        <v>395</v>
      </c>
      <c r="E226" s="111">
        <f t="shared" si="7"/>
        <v>64.58333333333334</v>
      </c>
      <c r="F226" s="108">
        <f t="shared" si="6"/>
        <v>92.94117647058823</v>
      </c>
      <c r="G226" s="25">
        <v>189</v>
      </c>
      <c r="GU226" s="57"/>
    </row>
    <row r="227" spans="1:203" ht="20.25" customHeight="1">
      <c r="A227" s="114" t="s">
        <v>186</v>
      </c>
      <c r="B227" s="28">
        <v>933</v>
      </c>
      <c r="C227" s="28">
        <f>86+885</f>
        <v>971</v>
      </c>
      <c r="D227" s="28">
        <v>884</v>
      </c>
      <c r="E227" s="111">
        <f t="shared" si="7"/>
        <v>-5.251875669882101</v>
      </c>
      <c r="F227" s="108">
        <f t="shared" si="6"/>
        <v>91.04016477857878</v>
      </c>
      <c r="G227" s="25">
        <v>885</v>
      </c>
      <c r="GU227" s="57"/>
    </row>
    <row r="228" spans="1:203" ht="20.25" customHeight="1">
      <c r="A228" s="114" t="s">
        <v>187</v>
      </c>
      <c r="B228" s="112">
        <f>SUM(B229:B231)</f>
        <v>263</v>
      </c>
      <c r="C228" s="112">
        <f>SUM(C229:C231)</f>
        <v>531</v>
      </c>
      <c r="D228" s="112">
        <f>SUM(D229:D231)</f>
        <v>380</v>
      </c>
      <c r="E228" s="111">
        <f t="shared" si="7"/>
        <v>44.48669201520912</v>
      </c>
      <c r="F228" s="108">
        <f t="shared" si="6"/>
        <v>71.56308851224105</v>
      </c>
      <c r="GU228" s="57"/>
    </row>
    <row r="229" spans="1:203" ht="20.25" customHeight="1">
      <c r="A229" s="114" t="s">
        <v>188</v>
      </c>
      <c r="B229" s="28">
        <v>260</v>
      </c>
      <c r="C229" s="28">
        <v>525</v>
      </c>
      <c r="D229" s="28">
        <v>375</v>
      </c>
      <c r="E229" s="111">
        <f t="shared" si="7"/>
        <v>44.230769230769226</v>
      </c>
      <c r="F229" s="108">
        <f t="shared" si="6"/>
        <v>71.42857142857143</v>
      </c>
      <c r="GU229" s="57"/>
    </row>
    <row r="230" spans="1:203" ht="20.25" customHeight="1">
      <c r="A230" s="115" t="s">
        <v>589</v>
      </c>
      <c r="B230" s="28"/>
      <c r="C230" s="28">
        <v>2</v>
      </c>
      <c r="D230" s="28">
        <v>2</v>
      </c>
      <c r="E230" s="111"/>
      <c r="F230" s="108">
        <f t="shared" si="6"/>
        <v>100</v>
      </c>
      <c r="G230" s="25">
        <v>2</v>
      </c>
      <c r="GU230" s="57"/>
    </row>
    <row r="231" spans="1:203" ht="20.25" customHeight="1">
      <c r="A231" s="114" t="s">
        <v>189</v>
      </c>
      <c r="B231" s="28">
        <v>3</v>
      </c>
      <c r="C231" s="28">
        <v>4</v>
      </c>
      <c r="D231" s="28">
        <v>3</v>
      </c>
      <c r="E231" s="111">
        <f t="shared" si="7"/>
        <v>0</v>
      </c>
      <c r="F231" s="108">
        <f t="shared" si="6"/>
        <v>75</v>
      </c>
      <c r="GU231" s="57"/>
    </row>
    <row r="232" spans="1:203" ht="20.25" customHeight="1">
      <c r="A232" s="114" t="s">
        <v>190</v>
      </c>
      <c r="B232" s="112">
        <f>SUM(B233:B237)</f>
        <v>1645</v>
      </c>
      <c r="C232" s="112">
        <f>SUM(C233:C237)</f>
        <v>1761</v>
      </c>
      <c r="D232" s="112">
        <f>SUM(D233:D237)</f>
        <v>653</v>
      </c>
      <c r="E232" s="111">
        <f t="shared" si="7"/>
        <v>-60.30395136778115</v>
      </c>
      <c r="F232" s="108">
        <f t="shared" si="6"/>
        <v>37.08120386144236</v>
      </c>
      <c r="GU232" s="57"/>
    </row>
    <row r="233" spans="1:203" ht="20.25" customHeight="1">
      <c r="A233" s="114" t="s">
        <v>191</v>
      </c>
      <c r="B233" s="28">
        <v>44</v>
      </c>
      <c r="C233" s="28">
        <v>28</v>
      </c>
      <c r="D233" s="28">
        <v>45</v>
      </c>
      <c r="E233" s="111">
        <f t="shared" si="7"/>
        <v>2.272727272727273</v>
      </c>
      <c r="F233" s="108">
        <f t="shared" si="6"/>
        <v>160.71428571428572</v>
      </c>
      <c r="GU233" s="57"/>
    </row>
    <row r="234" spans="1:203" ht="20.25" customHeight="1">
      <c r="A234" s="114" t="s">
        <v>192</v>
      </c>
      <c r="B234" s="28">
        <v>445</v>
      </c>
      <c r="C234" s="28"/>
      <c r="D234" s="28"/>
      <c r="E234" s="111">
        <f t="shared" si="7"/>
        <v>-100</v>
      </c>
      <c r="F234" s="108"/>
      <c r="GU234" s="57"/>
    </row>
    <row r="235" spans="1:203" ht="20.25" customHeight="1">
      <c r="A235" s="114" t="s">
        <v>193</v>
      </c>
      <c r="B235" s="28">
        <v>1056</v>
      </c>
      <c r="C235" s="28">
        <v>1642</v>
      </c>
      <c r="D235" s="28">
        <v>513</v>
      </c>
      <c r="E235" s="111">
        <f t="shared" si="7"/>
        <v>-51.42045454545454</v>
      </c>
      <c r="F235" s="108">
        <f t="shared" si="6"/>
        <v>31.242387332521314</v>
      </c>
      <c r="GU235" s="57"/>
    </row>
    <row r="236" spans="1:203" ht="20.25" customHeight="1">
      <c r="A236" s="114" t="s">
        <v>194</v>
      </c>
      <c r="B236" s="28">
        <v>78</v>
      </c>
      <c r="C236" s="28">
        <v>69</v>
      </c>
      <c r="D236" s="28">
        <v>73</v>
      </c>
      <c r="E236" s="111">
        <f t="shared" si="7"/>
        <v>-6.41025641025641</v>
      </c>
      <c r="F236" s="108">
        <f t="shared" si="6"/>
        <v>105.79710144927536</v>
      </c>
      <c r="GU236" s="57"/>
    </row>
    <row r="237" spans="1:203" ht="20.25" customHeight="1">
      <c r="A237" s="114" t="s">
        <v>195</v>
      </c>
      <c r="B237" s="28">
        <v>22</v>
      </c>
      <c r="C237" s="28">
        <v>22</v>
      </c>
      <c r="D237" s="28">
        <v>22</v>
      </c>
      <c r="E237" s="111">
        <f t="shared" si="7"/>
        <v>0</v>
      </c>
      <c r="F237" s="108">
        <f t="shared" si="6"/>
        <v>100</v>
      </c>
      <c r="GU237" s="57"/>
    </row>
    <row r="238" spans="1:203" ht="20.25" customHeight="1">
      <c r="A238" s="114" t="s">
        <v>196</v>
      </c>
      <c r="B238" s="112">
        <f>SUM(B239:B244)</f>
        <v>510</v>
      </c>
      <c r="C238" s="112">
        <f>SUM(C239:C244)</f>
        <v>273</v>
      </c>
      <c r="D238" s="112">
        <f>SUM(D239:D244)</f>
        <v>276</v>
      </c>
      <c r="E238" s="111">
        <f t="shared" si="7"/>
        <v>-45.88235294117647</v>
      </c>
      <c r="F238" s="108">
        <f t="shared" si="6"/>
        <v>101.0989010989011</v>
      </c>
      <c r="GU238" s="57"/>
    </row>
    <row r="239" spans="1:203" ht="20.25" customHeight="1">
      <c r="A239" s="114" t="s">
        <v>35</v>
      </c>
      <c r="B239" s="28">
        <v>23</v>
      </c>
      <c r="C239" s="28">
        <v>23</v>
      </c>
      <c r="D239" s="28">
        <v>23</v>
      </c>
      <c r="E239" s="111">
        <f t="shared" si="7"/>
        <v>0</v>
      </c>
      <c r="F239" s="108">
        <f t="shared" si="6"/>
        <v>100</v>
      </c>
      <c r="GU239" s="57"/>
    </row>
    <row r="240" spans="1:203" ht="20.25" customHeight="1">
      <c r="A240" s="114" t="s">
        <v>36</v>
      </c>
      <c r="B240" s="28"/>
      <c r="C240" s="28"/>
      <c r="D240" s="28"/>
      <c r="E240" s="111"/>
      <c r="F240" s="108"/>
      <c r="GU240" s="57"/>
    </row>
    <row r="241" spans="1:203" ht="20.25" customHeight="1">
      <c r="A241" s="114" t="s">
        <v>197</v>
      </c>
      <c r="B241" s="28">
        <v>7</v>
      </c>
      <c r="C241" s="28">
        <f>2+10</f>
        <v>12</v>
      </c>
      <c r="D241" s="28">
        <v>10</v>
      </c>
      <c r="E241" s="111">
        <f t="shared" si="7"/>
        <v>42.857142857142854</v>
      </c>
      <c r="F241" s="108">
        <f t="shared" si="6"/>
        <v>83.33333333333334</v>
      </c>
      <c r="G241" s="25">
        <v>10</v>
      </c>
      <c r="GU241" s="57"/>
    </row>
    <row r="242" spans="1:203" ht="20.25" customHeight="1">
      <c r="A242" s="114" t="s">
        <v>198</v>
      </c>
      <c r="B242" s="28">
        <v>238</v>
      </c>
      <c r="C242" s="28">
        <v>5</v>
      </c>
      <c r="D242" s="28">
        <v>11</v>
      </c>
      <c r="E242" s="111">
        <f t="shared" si="7"/>
        <v>-95.37815126050421</v>
      </c>
      <c r="F242" s="108">
        <f t="shared" si="6"/>
        <v>220.00000000000003</v>
      </c>
      <c r="G242" s="25">
        <v>5</v>
      </c>
      <c r="GU242" s="57"/>
    </row>
    <row r="243" spans="1:203" ht="20.25" customHeight="1">
      <c r="A243" s="115" t="s">
        <v>590</v>
      </c>
      <c r="B243" s="28"/>
      <c r="C243" s="28">
        <v>28</v>
      </c>
      <c r="D243" s="28">
        <v>28</v>
      </c>
      <c r="E243" s="111"/>
      <c r="F243" s="108">
        <f t="shared" si="6"/>
        <v>100</v>
      </c>
      <c r="G243" s="25">
        <v>28</v>
      </c>
      <c r="GU243" s="57"/>
    </row>
    <row r="244" spans="1:203" ht="20.25" customHeight="1">
      <c r="A244" s="59" t="s">
        <v>199</v>
      </c>
      <c r="B244" s="28">
        <v>242</v>
      </c>
      <c r="C244" s="28">
        <v>205</v>
      </c>
      <c r="D244" s="28">
        <v>204</v>
      </c>
      <c r="E244" s="111">
        <f t="shared" si="7"/>
        <v>-15.702479338842975</v>
      </c>
      <c r="F244" s="108">
        <f t="shared" si="6"/>
        <v>99.51219512195122</v>
      </c>
      <c r="G244" s="25">
        <v>205</v>
      </c>
      <c r="GU244" s="57"/>
    </row>
    <row r="245" spans="1:203" ht="20.25" customHeight="1">
      <c r="A245" s="59" t="s">
        <v>200</v>
      </c>
      <c r="B245" s="112">
        <f>SUM(B246:B247)</f>
        <v>323</v>
      </c>
      <c r="C245" s="112">
        <f>SUM(C246:C247)</f>
        <v>0</v>
      </c>
      <c r="D245" s="112">
        <f>SUM(D246:D247)</f>
        <v>0</v>
      </c>
      <c r="E245" s="111">
        <f t="shared" si="7"/>
        <v>-100</v>
      </c>
      <c r="F245" s="108"/>
      <c r="GU245" s="57"/>
    </row>
    <row r="246" spans="1:203" ht="20.25" customHeight="1">
      <c r="A246" s="27" t="s">
        <v>201</v>
      </c>
      <c r="B246" s="112">
        <v>323</v>
      </c>
      <c r="C246" s="112"/>
      <c r="D246" s="112"/>
      <c r="E246" s="111">
        <f t="shared" si="7"/>
        <v>-100</v>
      </c>
      <c r="F246" s="108"/>
      <c r="GU246" s="57"/>
    </row>
    <row r="247" spans="1:203" ht="20.25" customHeight="1">
      <c r="A247" s="59" t="s">
        <v>202</v>
      </c>
      <c r="B247" s="28"/>
      <c r="C247" s="28"/>
      <c r="D247" s="28"/>
      <c r="E247" s="111"/>
      <c r="F247" s="108"/>
      <c r="GU247" s="57"/>
    </row>
    <row r="248" spans="1:203" ht="20.25" customHeight="1">
      <c r="A248" s="114" t="s">
        <v>203</v>
      </c>
      <c r="B248" s="112">
        <f>SUM(B249:B250)</f>
        <v>24</v>
      </c>
      <c r="C248" s="112">
        <f>SUM(C249:C250)</f>
        <v>17</v>
      </c>
      <c r="D248" s="112">
        <f>SUM(D249:D250)</f>
        <v>18</v>
      </c>
      <c r="E248" s="111">
        <f t="shared" si="7"/>
        <v>-25</v>
      </c>
      <c r="F248" s="108">
        <f t="shared" si="6"/>
        <v>105.88235294117648</v>
      </c>
      <c r="GU248" s="57"/>
    </row>
    <row r="249" spans="1:203" ht="20.25" customHeight="1">
      <c r="A249" s="114" t="s">
        <v>35</v>
      </c>
      <c r="B249" s="28">
        <v>13</v>
      </c>
      <c r="C249" s="28">
        <v>12</v>
      </c>
      <c r="D249" s="28">
        <v>13</v>
      </c>
      <c r="E249" s="111">
        <f t="shared" si="7"/>
        <v>0</v>
      </c>
      <c r="F249" s="108">
        <f t="shared" si="6"/>
        <v>108.33333333333333</v>
      </c>
      <c r="GU249" s="57"/>
    </row>
    <row r="250" spans="1:203" ht="20.25" customHeight="1">
      <c r="A250" s="114" t="s">
        <v>36</v>
      </c>
      <c r="B250" s="28">
        <v>11</v>
      </c>
      <c r="C250" s="28">
        <v>5</v>
      </c>
      <c r="D250" s="28">
        <v>5</v>
      </c>
      <c r="E250" s="111">
        <f t="shared" si="7"/>
        <v>-54.54545454545454</v>
      </c>
      <c r="F250" s="108">
        <f t="shared" si="6"/>
        <v>100</v>
      </c>
      <c r="GU250" s="57"/>
    </row>
    <row r="251" spans="1:203" ht="20.25" customHeight="1">
      <c r="A251" s="114" t="s">
        <v>204</v>
      </c>
      <c r="B251" s="112">
        <f>SUM(B252:B253)</f>
        <v>2094</v>
      </c>
      <c r="C251" s="112">
        <f>SUM(C252:C253)</f>
        <v>3150</v>
      </c>
      <c r="D251" s="112">
        <f>SUM(D252:D253)</f>
        <v>3035</v>
      </c>
      <c r="E251" s="111">
        <f t="shared" si="7"/>
        <v>44.937917860553966</v>
      </c>
      <c r="F251" s="108">
        <f t="shared" si="6"/>
        <v>96.34920634920636</v>
      </c>
      <c r="GU251" s="57"/>
    </row>
    <row r="252" spans="1:203" ht="20.25" customHeight="1">
      <c r="A252" s="114" t="s">
        <v>205</v>
      </c>
      <c r="B252" s="28">
        <v>308</v>
      </c>
      <c r="C252" s="28">
        <f>598+393</f>
        <v>991</v>
      </c>
      <c r="D252" s="28">
        <v>1121</v>
      </c>
      <c r="E252" s="111">
        <f t="shared" si="7"/>
        <v>263.961038961039</v>
      </c>
      <c r="F252" s="108">
        <f t="shared" si="6"/>
        <v>113.1180625630676</v>
      </c>
      <c r="G252" s="25">
        <v>393</v>
      </c>
      <c r="GU252" s="57"/>
    </row>
    <row r="253" spans="1:203" ht="20.25" customHeight="1">
      <c r="A253" s="114" t="s">
        <v>206</v>
      </c>
      <c r="B253" s="28">
        <v>1786</v>
      </c>
      <c r="C253" s="28">
        <f>500+1659</f>
        <v>2159</v>
      </c>
      <c r="D253" s="28">
        <v>1914</v>
      </c>
      <c r="E253" s="111">
        <f t="shared" si="7"/>
        <v>7.166853303471445</v>
      </c>
      <c r="F253" s="108">
        <f t="shared" si="6"/>
        <v>88.65215377489578</v>
      </c>
      <c r="G253" s="25">
        <v>1659</v>
      </c>
      <c r="GU253" s="57"/>
    </row>
    <row r="254" spans="1:203" ht="20.25" customHeight="1">
      <c r="A254" s="114" t="s">
        <v>207</v>
      </c>
      <c r="B254" s="112">
        <f>SUM(B255:B256)</f>
        <v>129</v>
      </c>
      <c r="C254" s="112">
        <f>SUM(C255:C256)</f>
        <v>366</v>
      </c>
      <c r="D254" s="112">
        <f>SUM(D255:D256)</f>
        <v>609</v>
      </c>
      <c r="E254" s="111">
        <f t="shared" si="7"/>
        <v>372.09302325581393</v>
      </c>
      <c r="F254" s="108">
        <f t="shared" si="6"/>
        <v>166.39344262295083</v>
      </c>
      <c r="GU254" s="57"/>
    </row>
    <row r="255" spans="1:203" ht="20.25" customHeight="1">
      <c r="A255" s="114" t="s">
        <v>208</v>
      </c>
      <c r="B255" s="28">
        <v>81</v>
      </c>
      <c r="C255" s="28">
        <f>202+164</f>
        <v>366</v>
      </c>
      <c r="D255" s="28">
        <v>574</v>
      </c>
      <c r="E255" s="111">
        <f t="shared" si="7"/>
        <v>608.641975308642</v>
      </c>
      <c r="F255" s="108">
        <f t="shared" si="6"/>
        <v>156.83060109289616</v>
      </c>
      <c r="G255" s="25">
        <v>164</v>
      </c>
      <c r="GU255" s="57"/>
    </row>
    <row r="256" spans="1:203" ht="20.25" customHeight="1">
      <c r="A256" s="59" t="s">
        <v>209</v>
      </c>
      <c r="B256" s="28">
        <v>48</v>
      </c>
      <c r="C256" s="28"/>
      <c r="D256" s="28">
        <v>35</v>
      </c>
      <c r="E256" s="111">
        <f t="shared" si="7"/>
        <v>-27.083333333333332</v>
      </c>
      <c r="F256" s="108"/>
      <c r="GU256" s="57"/>
    </row>
    <row r="257" spans="1:203" ht="20.25" customHeight="1">
      <c r="A257" s="114" t="s">
        <v>210</v>
      </c>
      <c r="B257" s="112">
        <f>SUM(B258:B258)</f>
        <v>845</v>
      </c>
      <c r="C257" s="112">
        <f>SUM(C258:C258)</f>
        <v>955</v>
      </c>
      <c r="D257" s="112">
        <f>SUM(D258:D258)</f>
        <v>881</v>
      </c>
      <c r="E257" s="111">
        <f t="shared" si="7"/>
        <v>4.260355029585798</v>
      </c>
      <c r="F257" s="108">
        <f t="shared" si="6"/>
        <v>92.25130890052357</v>
      </c>
      <c r="GU257" s="57"/>
    </row>
    <row r="258" spans="1:203" ht="20.25" customHeight="1">
      <c r="A258" s="115" t="s">
        <v>591</v>
      </c>
      <c r="B258" s="28">
        <v>845</v>
      </c>
      <c r="C258" s="28">
        <v>955</v>
      </c>
      <c r="D258" s="28">
        <v>881</v>
      </c>
      <c r="E258" s="111">
        <f t="shared" si="7"/>
        <v>4.260355029585798</v>
      </c>
      <c r="F258" s="108">
        <f t="shared" si="6"/>
        <v>92.25130890052357</v>
      </c>
      <c r="GU258" s="57"/>
    </row>
    <row r="259" spans="1:203" ht="20.25" customHeight="1">
      <c r="A259" s="114" t="s">
        <v>211</v>
      </c>
      <c r="B259" s="112">
        <f>SUM(B260:B261)</f>
        <v>455</v>
      </c>
      <c r="C259" s="112">
        <f>SUM(C260:C261)</f>
        <v>724</v>
      </c>
      <c r="D259" s="112">
        <f>SUM(D260:D261)</f>
        <v>553</v>
      </c>
      <c r="E259" s="111">
        <f t="shared" si="7"/>
        <v>21.53846153846154</v>
      </c>
      <c r="F259" s="108">
        <f t="shared" si="6"/>
        <v>76.38121546961327</v>
      </c>
      <c r="GU259" s="57"/>
    </row>
    <row r="260" spans="1:203" ht="20.25" customHeight="1">
      <c r="A260" s="63" t="s">
        <v>212</v>
      </c>
      <c r="B260" s="112">
        <v>22</v>
      </c>
      <c r="C260" s="112">
        <v>25</v>
      </c>
      <c r="D260" s="112">
        <v>25</v>
      </c>
      <c r="E260" s="111">
        <f t="shared" si="7"/>
        <v>13.636363636363635</v>
      </c>
      <c r="F260" s="108">
        <f t="shared" si="6"/>
        <v>100</v>
      </c>
      <c r="G260" s="25">
        <v>25</v>
      </c>
      <c r="GU260" s="57"/>
    </row>
    <row r="261" spans="1:203" ht="20.25" customHeight="1">
      <c r="A261" s="115" t="s">
        <v>592</v>
      </c>
      <c r="B261" s="28">
        <v>433</v>
      </c>
      <c r="C261" s="28">
        <v>699</v>
      </c>
      <c r="D261" s="28">
        <v>528</v>
      </c>
      <c r="E261" s="111">
        <f t="shared" si="7"/>
        <v>21.939953810623557</v>
      </c>
      <c r="F261" s="108">
        <f t="shared" si="6"/>
        <v>75.53648068669528</v>
      </c>
      <c r="GU261" s="57"/>
    </row>
    <row r="262" spans="1:203" ht="20.25" customHeight="1">
      <c r="A262" s="115" t="s">
        <v>593</v>
      </c>
      <c r="B262" s="28">
        <f>B263</f>
        <v>0</v>
      </c>
      <c r="C262" s="28">
        <f>C263</f>
        <v>7937</v>
      </c>
      <c r="D262" s="28">
        <f>D263</f>
        <v>4438</v>
      </c>
      <c r="E262" s="111"/>
      <c r="F262" s="108">
        <f aca="true" t="shared" si="8" ref="F262:F325">D262/C262*100</f>
        <v>55.91533324933854</v>
      </c>
      <c r="GU262" s="57"/>
    </row>
    <row r="263" spans="1:203" ht="20.25" customHeight="1">
      <c r="A263" s="115" t="s">
        <v>594</v>
      </c>
      <c r="B263" s="28"/>
      <c r="C263" s="28">
        <f>4438+3499</f>
        <v>7937</v>
      </c>
      <c r="D263" s="28">
        <v>4438</v>
      </c>
      <c r="E263" s="111"/>
      <c r="F263" s="108">
        <f t="shared" si="8"/>
        <v>55.91533324933854</v>
      </c>
      <c r="G263" s="25">
        <v>3499</v>
      </c>
      <c r="GU263" s="57"/>
    </row>
    <row r="264" spans="1:203" ht="20.25" customHeight="1">
      <c r="A264" s="27" t="s">
        <v>213</v>
      </c>
      <c r="B264" s="28">
        <f>B265</f>
        <v>6</v>
      </c>
      <c r="C264" s="28"/>
      <c r="D264" s="28">
        <f>D265</f>
        <v>0</v>
      </c>
      <c r="E264" s="111">
        <f t="shared" si="7"/>
        <v>-100</v>
      </c>
      <c r="F264" s="108"/>
      <c r="GU264" s="57"/>
    </row>
    <row r="265" spans="1:203" ht="20.25" customHeight="1">
      <c r="A265" s="27" t="s">
        <v>214</v>
      </c>
      <c r="B265" s="28">
        <v>6</v>
      </c>
      <c r="C265" s="28"/>
      <c r="D265" s="28"/>
      <c r="E265" s="111">
        <f t="shared" si="7"/>
        <v>-100</v>
      </c>
      <c r="F265" s="108"/>
      <c r="GU265" s="57"/>
    </row>
    <row r="266" spans="1:203" ht="20.25" customHeight="1">
      <c r="A266" s="114" t="s">
        <v>215</v>
      </c>
      <c r="B266" s="112">
        <f>B267+B270+B274+B278+B294+B298+B301+B303+B305+B286+B290</f>
        <v>18315</v>
      </c>
      <c r="C266" s="112">
        <f>C267+C270+C274+C278+C294+C298+C301+C303+C305+C286+C290</f>
        <v>21116</v>
      </c>
      <c r="D266" s="112">
        <f>D267+D270+D274+D278+D294+D298+D301+D303+D305+D286+D290</f>
        <v>19662</v>
      </c>
      <c r="E266" s="111">
        <f t="shared" si="7"/>
        <v>7.354627354627355</v>
      </c>
      <c r="F266" s="108">
        <f t="shared" si="8"/>
        <v>93.11422617920061</v>
      </c>
      <c r="GU266" s="57"/>
    </row>
    <row r="267" spans="1:203" ht="20.25" customHeight="1">
      <c r="A267" s="115" t="s">
        <v>598</v>
      </c>
      <c r="B267" s="112">
        <f>SUM(B268:B269)</f>
        <v>188</v>
      </c>
      <c r="C267" s="112">
        <f>SUM(C268:C269)</f>
        <v>157</v>
      </c>
      <c r="D267" s="112">
        <f>SUM(D268:D269)</f>
        <v>158</v>
      </c>
      <c r="E267" s="111">
        <f t="shared" si="7"/>
        <v>-15.957446808510639</v>
      </c>
      <c r="F267" s="108">
        <f t="shared" si="8"/>
        <v>100.63694267515923</v>
      </c>
      <c r="GU267" s="57"/>
    </row>
    <row r="268" spans="1:203" ht="20.25" customHeight="1">
      <c r="A268" s="114" t="s">
        <v>35</v>
      </c>
      <c r="B268" s="28">
        <v>163</v>
      </c>
      <c r="C268" s="28">
        <v>146</v>
      </c>
      <c r="D268" s="28">
        <v>146</v>
      </c>
      <c r="E268" s="111">
        <f t="shared" si="7"/>
        <v>-10.429447852760736</v>
      </c>
      <c r="F268" s="108">
        <f t="shared" si="8"/>
        <v>100</v>
      </c>
      <c r="GU268" s="57"/>
    </row>
    <row r="269" spans="1:203" ht="20.25" customHeight="1">
      <c r="A269" s="114" t="s">
        <v>36</v>
      </c>
      <c r="B269" s="28">
        <v>25</v>
      </c>
      <c r="C269" s="28">
        <v>11</v>
      </c>
      <c r="D269" s="28">
        <v>12</v>
      </c>
      <c r="E269" s="111">
        <f t="shared" si="7"/>
        <v>-52</v>
      </c>
      <c r="F269" s="108">
        <f t="shared" si="8"/>
        <v>109.09090909090908</v>
      </c>
      <c r="GU269" s="57"/>
    </row>
    <row r="270" spans="1:203" ht="20.25" customHeight="1">
      <c r="A270" s="114" t="s">
        <v>216</v>
      </c>
      <c r="B270" s="112">
        <f>SUM(B271:B273)</f>
        <v>979</v>
      </c>
      <c r="C270" s="112">
        <f>SUM(C271:C273)</f>
        <v>1262</v>
      </c>
      <c r="D270" s="112">
        <f>SUM(D271:D273)</f>
        <v>1092</v>
      </c>
      <c r="E270" s="111">
        <f t="shared" si="7"/>
        <v>11.542390194075587</v>
      </c>
      <c r="F270" s="108">
        <f t="shared" si="8"/>
        <v>86.52931854199683</v>
      </c>
      <c r="GU270" s="57"/>
    </row>
    <row r="271" spans="1:203" ht="20.25" customHeight="1">
      <c r="A271" s="114" t="s">
        <v>217</v>
      </c>
      <c r="B271" s="28">
        <v>529</v>
      </c>
      <c r="C271" s="28">
        <v>616</v>
      </c>
      <c r="D271" s="28">
        <v>446</v>
      </c>
      <c r="E271" s="111">
        <f aca="true" t="shared" si="9" ref="E271:E341">(D271-B271)/B271*100</f>
        <v>-15.689981096408317</v>
      </c>
      <c r="F271" s="108">
        <f t="shared" si="8"/>
        <v>72.40259740259741</v>
      </c>
      <c r="GU271" s="57"/>
    </row>
    <row r="272" spans="1:203" ht="20.25" customHeight="1">
      <c r="A272" s="114" t="s">
        <v>218</v>
      </c>
      <c r="B272" s="28"/>
      <c r="C272" s="28">
        <v>150</v>
      </c>
      <c r="D272" s="28">
        <v>150</v>
      </c>
      <c r="E272" s="111"/>
      <c r="F272" s="108">
        <f t="shared" si="8"/>
        <v>100</v>
      </c>
      <c r="G272" s="25">
        <v>150</v>
      </c>
      <c r="GU272" s="57"/>
    </row>
    <row r="273" spans="1:203" ht="20.25" customHeight="1">
      <c r="A273" s="114" t="s">
        <v>219</v>
      </c>
      <c r="B273" s="28">
        <v>450</v>
      </c>
      <c r="C273" s="28">
        <v>496</v>
      </c>
      <c r="D273" s="28">
        <v>496</v>
      </c>
      <c r="E273" s="111">
        <f t="shared" si="9"/>
        <v>10.222222222222223</v>
      </c>
      <c r="F273" s="108">
        <f t="shared" si="8"/>
        <v>100</v>
      </c>
      <c r="G273" s="25">
        <v>496</v>
      </c>
      <c r="GU273" s="57"/>
    </row>
    <row r="274" spans="1:203" ht="20.25" customHeight="1">
      <c r="A274" s="114" t="s">
        <v>220</v>
      </c>
      <c r="B274" s="112">
        <f>SUM(B276:B277)</f>
        <v>1960</v>
      </c>
      <c r="C274" s="112">
        <f>SUM(C276:C277)</f>
        <v>3639</v>
      </c>
      <c r="D274" s="112">
        <f>SUM(D276:D277)</f>
        <v>2421</v>
      </c>
      <c r="E274" s="111">
        <f t="shared" si="9"/>
        <v>23.520408163265305</v>
      </c>
      <c r="F274" s="108">
        <f t="shared" si="8"/>
        <v>66.52926628194558</v>
      </c>
      <c r="GU274" s="57"/>
    </row>
    <row r="275" spans="1:203" ht="20.25" customHeight="1">
      <c r="A275" s="114" t="s">
        <v>221</v>
      </c>
      <c r="B275" s="112"/>
      <c r="C275" s="112"/>
      <c r="D275" s="112"/>
      <c r="E275" s="111"/>
      <c r="F275" s="108"/>
      <c r="GU275" s="57"/>
    </row>
    <row r="276" spans="1:203" ht="20.25" customHeight="1">
      <c r="A276" s="114" t="s">
        <v>222</v>
      </c>
      <c r="B276" s="28">
        <v>371</v>
      </c>
      <c r="C276" s="28">
        <v>1680</v>
      </c>
      <c r="D276" s="28">
        <v>566</v>
      </c>
      <c r="E276" s="111">
        <f t="shared" si="9"/>
        <v>52.56064690026954</v>
      </c>
      <c r="F276" s="108">
        <f t="shared" si="8"/>
        <v>33.69047619047619</v>
      </c>
      <c r="GU276" s="57"/>
    </row>
    <row r="277" spans="1:203" ht="20.25" customHeight="1">
      <c r="A277" s="114" t="s">
        <v>223</v>
      </c>
      <c r="B277" s="28">
        <v>1589</v>
      </c>
      <c r="C277" s="28">
        <f>1343+616</f>
        <v>1959</v>
      </c>
      <c r="D277" s="28">
        <v>1855</v>
      </c>
      <c r="E277" s="111">
        <f t="shared" si="9"/>
        <v>16.740088105726873</v>
      </c>
      <c r="F277" s="108">
        <f t="shared" si="8"/>
        <v>94.69116896375702</v>
      </c>
      <c r="G277" s="25">
        <v>616</v>
      </c>
      <c r="GU277" s="57"/>
    </row>
    <row r="278" spans="1:203" ht="20.25" customHeight="1">
      <c r="A278" s="114" t="s">
        <v>224</v>
      </c>
      <c r="B278" s="112">
        <f>SUM(B279:B285)</f>
        <v>2505</v>
      </c>
      <c r="C278" s="112">
        <f>SUM(C279:C285)</f>
        <v>2631</v>
      </c>
      <c r="D278" s="112">
        <f>SUM(D279:D285)</f>
        <v>2589</v>
      </c>
      <c r="E278" s="111">
        <f t="shared" si="9"/>
        <v>3.3532934131736525</v>
      </c>
      <c r="F278" s="108">
        <f t="shared" si="8"/>
        <v>98.4036488027366</v>
      </c>
      <c r="GU278" s="57"/>
    </row>
    <row r="279" spans="1:203" ht="20.25" customHeight="1">
      <c r="A279" s="114" t="s">
        <v>225</v>
      </c>
      <c r="B279" s="28">
        <v>405</v>
      </c>
      <c r="C279" s="28">
        <v>340</v>
      </c>
      <c r="D279" s="28">
        <v>375</v>
      </c>
      <c r="E279" s="111">
        <f t="shared" si="9"/>
        <v>-7.4074074074074066</v>
      </c>
      <c r="F279" s="108">
        <f t="shared" si="8"/>
        <v>110.29411764705883</v>
      </c>
      <c r="GU279" s="57"/>
    </row>
    <row r="280" spans="1:203" ht="20.25" customHeight="1">
      <c r="A280" s="114" t="s">
        <v>226</v>
      </c>
      <c r="B280" s="28">
        <v>109</v>
      </c>
      <c r="C280" s="28">
        <v>102</v>
      </c>
      <c r="D280" s="28">
        <v>102</v>
      </c>
      <c r="E280" s="111">
        <f t="shared" si="9"/>
        <v>-6.422018348623854</v>
      </c>
      <c r="F280" s="108">
        <f t="shared" si="8"/>
        <v>100</v>
      </c>
      <c r="GU280" s="57"/>
    </row>
    <row r="281" spans="1:203" ht="20.25" customHeight="1">
      <c r="A281" s="114" t="s">
        <v>227</v>
      </c>
      <c r="B281" s="28">
        <v>262</v>
      </c>
      <c r="C281" s="28">
        <v>231</v>
      </c>
      <c r="D281" s="28">
        <v>253</v>
      </c>
      <c r="E281" s="111">
        <f t="shared" si="9"/>
        <v>-3.435114503816794</v>
      </c>
      <c r="F281" s="108">
        <f t="shared" si="8"/>
        <v>109.52380952380953</v>
      </c>
      <c r="GU281" s="57"/>
    </row>
    <row r="282" spans="1:203" ht="20.25" customHeight="1">
      <c r="A282" s="114" t="s">
        <v>228</v>
      </c>
      <c r="B282" s="28"/>
      <c r="C282" s="28"/>
      <c r="D282" s="28"/>
      <c r="E282" s="111"/>
      <c r="F282" s="108"/>
      <c r="GU282" s="57"/>
    </row>
    <row r="283" spans="1:203" ht="20.25" customHeight="1">
      <c r="A283" s="114" t="s">
        <v>229</v>
      </c>
      <c r="B283" s="28">
        <v>1336</v>
      </c>
      <c r="C283" s="28">
        <f>427+1151</f>
        <v>1578</v>
      </c>
      <c r="D283" s="28">
        <v>1427</v>
      </c>
      <c r="E283" s="111">
        <f t="shared" si="9"/>
        <v>6.811377245508981</v>
      </c>
      <c r="F283" s="108">
        <f t="shared" si="8"/>
        <v>90.43092522179975</v>
      </c>
      <c r="G283" s="25">
        <v>1151</v>
      </c>
      <c r="GU283" s="57"/>
    </row>
    <row r="284" spans="1:203" ht="20.25" customHeight="1">
      <c r="A284" s="114" t="s">
        <v>230</v>
      </c>
      <c r="B284" s="28">
        <v>388</v>
      </c>
      <c r="C284" s="28">
        <f>114+256</f>
        <v>370</v>
      </c>
      <c r="D284" s="28">
        <v>427</v>
      </c>
      <c r="E284" s="111">
        <f t="shared" si="9"/>
        <v>10.051546391752577</v>
      </c>
      <c r="F284" s="108">
        <f t="shared" si="8"/>
        <v>115.4054054054054</v>
      </c>
      <c r="G284" s="25">
        <v>256</v>
      </c>
      <c r="GU284" s="57"/>
    </row>
    <row r="285" spans="1:203" ht="20.25" customHeight="1">
      <c r="A285" s="114" t="s">
        <v>231</v>
      </c>
      <c r="B285" s="28">
        <v>5</v>
      </c>
      <c r="C285" s="28">
        <v>10</v>
      </c>
      <c r="D285" s="28">
        <v>5</v>
      </c>
      <c r="E285" s="111">
        <f t="shared" si="9"/>
        <v>0</v>
      </c>
      <c r="F285" s="108">
        <f t="shared" si="8"/>
        <v>50</v>
      </c>
      <c r="GU285" s="57"/>
    </row>
    <row r="286" spans="1:203" ht="20.25" customHeight="1">
      <c r="A286" s="114" t="s">
        <v>238</v>
      </c>
      <c r="B286" s="112">
        <f>SUM(B287:B289)</f>
        <v>769</v>
      </c>
      <c r="C286" s="112">
        <f>SUM(C287:C289)</f>
        <v>908</v>
      </c>
      <c r="D286" s="112">
        <f>SUM(D287:D289)</f>
        <v>912</v>
      </c>
      <c r="E286" s="111">
        <f aca="true" t="shared" si="10" ref="E286:E292">(D286-B286)/B286*100</f>
        <v>18.59557867360208</v>
      </c>
      <c r="F286" s="108">
        <f t="shared" si="8"/>
        <v>100.44052863436124</v>
      </c>
      <c r="GU286" s="57"/>
    </row>
    <row r="287" spans="1:203" ht="20.25" customHeight="1">
      <c r="A287" s="114" t="s">
        <v>239</v>
      </c>
      <c r="B287" s="112">
        <v>29</v>
      </c>
      <c r="C287" s="112"/>
      <c r="D287" s="112"/>
      <c r="E287" s="111">
        <f t="shared" si="10"/>
        <v>-100</v>
      </c>
      <c r="F287" s="108"/>
      <c r="GU287" s="57"/>
    </row>
    <row r="288" spans="1:203" ht="20.25" customHeight="1">
      <c r="A288" s="114" t="s">
        <v>240</v>
      </c>
      <c r="B288" s="28">
        <v>631</v>
      </c>
      <c r="C288" s="28">
        <f>339+501</f>
        <v>840</v>
      </c>
      <c r="D288" s="28">
        <v>833</v>
      </c>
      <c r="E288" s="111">
        <f t="shared" si="10"/>
        <v>32.01267828843106</v>
      </c>
      <c r="F288" s="108">
        <f t="shared" si="8"/>
        <v>99.16666666666667</v>
      </c>
      <c r="G288" s="25">
        <v>501</v>
      </c>
      <c r="GU288" s="57"/>
    </row>
    <row r="289" spans="1:203" ht="20.25" customHeight="1">
      <c r="A289" s="114" t="s">
        <v>241</v>
      </c>
      <c r="B289" s="28">
        <v>109</v>
      </c>
      <c r="C289" s="28">
        <f>21+47</f>
        <v>68</v>
      </c>
      <c r="D289" s="28">
        <v>79</v>
      </c>
      <c r="E289" s="111">
        <f t="shared" si="10"/>
        <v>-27.522935779816514</v>
      </c>
      <c r="F289" s="108">
        <f t="shared" si="8"/>
        <v>116.1764705882353</v>
      </c>
      <c r="G289" s="25">
        <v>47</v>
      </c>
      <c r="GU289" s="57"/>
    </row>
    <row r="290" spans="1:203" ht="20.25" customHeight="1">
      <c r="A290" s="114" t="s">
        <v>242</v>
      </c>
      <c r="B290" s="28">
        <f>SUM(B291:B293)</f>
        <v>10</v>
      </c>
      <c r="C290" s="28">
        <f>SUM(C291:C293)</f>
        <v>104</v>
      </c>
      <c r="D290" s="28">
        <f>SUM(D291:D293)</f>
        <v>111</v>
      </c>
      <c r="E290" s="111">
        <f t="shared" si="10"/>
        <v>1010</v>
      </c>
      <c r="F290" s="108">
        <f t="shared" si="8"/>
        <v>106.73076923076923</v>
      </c>
      <c r="GU290" s="57"/>
    </row>
    <row r="291" spans="1:203" ht="20.25" customHeight="1">
      <c r="A291" s="115" t="s">
        <v>585</v>
      </c>
      <c r="B291" s="28"/>
      <c r="C291" s="28">
        <v>3</v>
      </c>
      <c r="D291" s="28">
        <v>3</v>
      </c>
      <c r="E291" s="111"/>
      <c r="F291" s="108">
        <f t="shared" si="8"/>
        <v>100</v>
      </c>
      <c r="GU291" s="57"/>
    </row>
    <row r="292" spans="1:203" ht="20.25" customHeight="1">
      <c r="A292" s="114" t="s">
        <v>243</v>
      </c>
      <c r="B292" s="28">
        <v>10</v>
      </c>
      <c r="C292" s="28">
        <v>5</v>
      </c>
      <c r="D292" s="28">
        <v>25</v>
      </c>
      <c r="E292" s="111">
        <f t="shared" si="10"/>
        <v>150</v>
      </c>
      <c r="F292" s="108">
        <f t="shared" si="8"/>
        <v>500</v>
      </c>
      <c r="GU292" s="57"/>
    </row>
    <row r="293" spans="1:203" ht="20.25" customHeight="1">
      <c r="A293" s="115" t="s">
        <v>586</v>
      </c>
      <c r="B293" s="28"/>
      <c r="C293" s="28">
        <v>96</v>
      </c>
      <c r="D293" s="28">
        <v>83</v>
      </c>
      <c r="E293" s="111"/>
      <c r="F293" s="108">
        <f t="shared" si="8"/>
        <v>86.45833333333334</v>
      </c>
      <c r="GU293" s="57"/>
    </row>
    <row r="294" spans="1:203" ht="20.25" customHeight="1">
      <c r="A294" s="115" t="s">
        <v>595</v>
      </c>
      <c r="B294" s="112">
        <f>SUM(B295:B297)</f>
        <v>2764</v>
      </c>
      <c r="C294" s="112">
        <f>SUM(C295:C297)</f>
        <v>2711</v>
      </c>
      <c r="D294" s="112">
        <f>SUM(D295:D297)</f>
        <v>2864</v>
      </c>
      <c r="E294" s="111">
        <f t="shared" si="9"/>
        <v>3.61794500723589</v>
      </c>
      <c r="F294" s="108">
        <f t="shared" si="8"/>
        <v>105.64367392106233</v>
      </c>
      <c r="GU294" s="57"/>
    </row>
    <row r="295" spans="1:203" ht="20.25" customHeight="1">
      <c r="A295" s="114" t="s">
        <v>232</v>
      </c>
      <c r="B295" s="28">
        <v>1036</v>
      </c>
      <c r="C295" s="28">
        <v>846</v>
      </c>
      <c r="D295" s="28">
        <v>1097</v>
      </c>
      <c r="E295" s="111">
        <f t="shared" si="9"/>
        <v>5.8880308880308885</v>
      </c>
      <c r="F295" s="108">
        <f t="shared" si="8"/>
        <v>129.6690307328605</v>
      </c>
      <c r="GU295" s="57"/>
    </row>
    <row r="296" spans="1:203" ht="20.25" customHeight="1">
      <c r="A296" s="114" t="s">
        <v>233</v>
      </c>
      <c r="B296" s="28">
        <v>1723</v>
      </c>
      <c r="C296" s="28">
        <v>1863</v>
      </c>
      <c r="D296" s="28">
        <v>1765</v>
      </c>
      <c r="E296" s="111">
        <f t="shared" si="9"/>
        <v>2.4376088218224026</v>
      </c>
      <c r="F296" s="108">
        <f t="shared" si="8"/>
        <v>94.73966720343532</v>
      </c>
      <c r="GU296" s="57"/>
    </row>
    <row r="297" spans="1:203" ht="20.25" customHeight="1">
      <c r="A297" s="27" t="s">
        <v>234</v>
      </c>
      <c r="B297" s="28">
        <v>5</v>
      </c>
      <c r="C297" s="28">
        <v>2</v>
      </c>
      <c r="D297" s="28">
        <v>2</v>
      </c>
      <c r="E297" s="111">
        <f t="shared" si="9"/>
        <v>-60</v>
      </c>
      <c r="F297" s="108">
        <f t="shared" si="8"/>
        <v>100</v>
      </c>
      <c r="G297" s="25">
        <v>2</v>
      </c>
      <c r="GU297" s="57"/>
    </row>
    <row r="298" spans="1:203" ht="20.25" customHeight="1">
      <c r="A298" s="115" t="s">
        <v>596</v>
      </c>
      <c r="B298" s="28">
        <f>B299+B300</f>
        <v>8802</v>
      </c>
      <c r="C298" s="28">
        <f>C299+C300</f>
        <v>9299</v>
      </c>
      <c r="D298" s="28">
        <f>D299+D300</f>
        <v>9189</v>
      </c>
      <c r="E298" s="111"/>
      <c r="F298" s="108">
        <f t="shared" si="8"/>
        <v>98.81707710506507</v>
      </c>
      <c r="GU298" s="57"/>
    </row>
    <row r="299" spans="1:203" ht="20.25" customHeight="1">
      <c r="A299" s="114" t="s">
        <v>235</v>
      </c>
      <c r="B299" s="28">
        <v>8722</v>
      </c>
      <c r="C299" s="28">
        <f>2801+6318</f>
        <v>9119</v>
      </c>
      <c r="D299" s="28">
        <v>9115</v>
      </c>
      <c r="E299" s="111">
        <f t="shared" si="9"/>
        <v>4.505847282733319</v>
      </c>
      <c r="F299" s="108">
        <f t="shared" si="8"/>
        <v>99.95613554117776</v>
      </c>
      <c r="G299" s="25">
        <f>6602-284</f>
        <v>6318</v>
      </c>
      <c r="GU299" s="57"/>
    </row>
    <row r="300" spans="1:203" ht="20.25" customHeight="1">
      <c r="A300" s="114" t="s">
        <v>236</v>
      </c>
      <c r="B300" s="28">
        <v>80</v>
      </c>
      <c r="C300" s="28">
        <v>180</v>
      </c>
      <c r="D300" s="28">
        <v>74</v>
      </c>
      <c r="E300" s="111">
        <f t="shared" si="9"/>
        <v>-7.5</v>
      </c>
      <c r="F300" s="108">
        <f t="shared" si="8"/>
        <v>41.11111111111111</v>
      </c>
      <c r="GU300" s="57"/>
    </row>
    <row r="301" spans="1:203" ht="20.25" customHeight="1">
      <c r="A301" s="115" t="s">
        <v>597</v>
      </c>
      <c r="B301" s="28">
        <f>B302</f>
        <v>279</v>
      </c>
      <c r="C301" s="28">
        <f>C302</f>
        <v>274</v>
      </c>
      <c r="D301" s="28">
        <f>D302</f>
        <v>274</v>
      </c>
      <c r="E301" s="111"/>
      <c r="F301" s="108">
        <f t="shared" si="8"/>
        <v>100</v>
      </c>
      <c r="GU301" s="57"/>
    </row>
    <row r="302" spans="1:203" ht="20.25" customHeight="1">
      <c r="A302" s="114" t="s">
        <v>237</v>
      </c>
      <c r="B302" s="28">
        <v>279</v>
      </c>
      <c r="C302" s="28">
        <v>274</v>
      </c>
      <c r="D302" s="28">
        <v>274</v>
      </c>
      <c r="E302" s="111">
        <f t="shared" si="9"/>
        <v>-1.7921146953405016</v>
      </c>
      <c r="F302" s="108">
        <f t="shared" si="8"/>
        <v>100</v>
      </c>
      <c r="G302" s="25">
        <v>274</v>
      </c>
      <c r="GU302" s="57"/>
    </row>
    <row r="303" spans="1:203" ht="20.25" customHeight="1">
      <c r="A303" s="115" t="s">
        <v>600</v>
      </c>
      <c r="B303" s="28">
        <f>B304</f>
        <v>59</v>
      </c>
      <c r="C303" s="28">
        <f>C304</f>
        <v>130</v>
      </c>
      <c r="D303" s="28">
        <f>D304</f>
        <v>51</v>
      </c>
      <c r="E303" s="111"/>
      <c r="F303" s="108">
        <f t="shared" si="8"/>
        <v>39.23076923076923</v>
      </c>
      <c r="GU303" s="57"/>
    </row>
    <row r="304" spans="1:203" ht="20.25" customHeight="1">
      <c r="A304" s="115" t="s">
        <v>599</v>
      </c>
      <c r="B304" s="28">
        <v>59</v>
      </c>
      <c r="C304" s="28">
        <f>79+51</f>
        <v>130</v>
      </c>
      <c r="D304" s="28">
        <v>51</v>
      </c>
      <c r="E304" s="111">
        <f>(D304-B304)/B304*100</f>
        <v>-13.559322033898304</v>
      </c>
      <c r="F304" s="108">
        <f t="shared" si="8"/>
        <v>39.23076923076923</v>
      </c>
      <c r="G304" s="25">
        <v>51</v>
      </c>
      <c r="GU304" s="57"/>
    </row>
    <row r="305" spans="1:203" ht="20.25" customHeight="1">
      <c r="A305" s="27" t="s">
        <v>601</v>
      </c>
      <c r="B305" s="112">
        <f>B306</f>
        <v>0</v>
      </c>
      <c r="C305" s="112">
        <f>C306</f>
        <v>1</v>
      </c>
      <c r="D305" s="112">
        <f>D306</f>
        <v>1</v>
      </c>
      <c r="E305" s="111"/>
      <c r="F305" s="108">
        <f t="shared" si="8"/>
        <v>100</v>
      </c>
      <c r="GU305" s="57"/>
    </row>
    <row r="306" spans="1:203" ht="20.25" customHeight="1">
      <c r="A306" s="27" t="s">
        <v>602</v>
      </c>
      <c r="B306" s="28"/>
      <c r="C306" s="28">
        <v>1</v>
      </c>
      <c r="D306" s="28">
        <v>1</v>
      </c>
      <c r="E306" s="111"/>
      <c r="F306" s="108">
        <f t="shared" si="8"/>
        <v>100</v>
      </c>
      <c r="G306" s="25">
        <v>1</v>
      </c>
      <c r="GU306" s="57"/>
    </row>
    <row r="307" spans="1:203" ht="20.25" customHeight="1">
      <c r="A307" s="114" t="s">
        <v>244</v>
      </c>
      <c r="B307" s="112">
        <f>B308+B311+B313+B318+B324+B322+B329+B331</f>
        <v>3696</v>
      </c>
      <c r="C307" s="112">
        <f>C308+C311+C313+C318+C324+C322+C329+C331</f>
        <v>5771</v>
      </c>
      <c r="D307" s="112">
        <f>D308+D311+D313+D318+D324+D322+D329+D331</f>
        <v>6146</v>
      </c>
      <c r="E307" s="111">
        <f t="shared" si="9"/>
        <v>66.28787878787878</v>
      </c>
      <c r="F307" s="108">
        <f t="shared" si="8"/>
        <v>106.49800727776815</v>
      </c>
      <c r="GU307" s="57"/>
    </row>
    <row r="308" spans="1:203" ht="20.25" customHeight="1">
      <c r="A308" s="114" t="s">
        <v>245</v>
      </c>
      <c r="B308" s="112">
        <f>SUM(B309:B310)</f>
        <v>262</v>
      </c>
      <c r="C308" s="112">
        <f>SUM(C309:C310)</f>
        <v>469</v>
      </c>
      <c r="D308" s="112">
        <f>SUM(D309:D310)</f>
        <v>465</v>
      </c>
      <c r="E308" s="111">
        <f t="shared" si="9"/>
        <v>77.48091603053436</v>
      </c>
      <c r="F308" s="108">
        <f t="shared" si="8"/>
        <v>99.14712153518124</v>
      </c>
      <c r="GU308" s="57"/>
    </row>
    <row r="309" spans="1:203" ht="20.25" customHeight="1">
      <c r="A309" s="114" t="s">
        <v>35</v>
      </c>
      <c r="B309" s="28">
        <v>86</v>
      </c>
      <c r="C309" s="28">
        <v>81</v>
      </c>
      <c r="D309" s="28">
        <v>81</v>
      </c>
      <c r="E309" s="111">
        <f t="shared" si="9"/>
        <v>-5.813953488372093</v>
      </c>
      <c r="F309" s="108">
        <f t="shared" si="8"/>
        <v>100</v>
      </c>
      <c r="GU309" s="57"/>
    </row>
    <row r="310" spans="1:203" ht="20.25" customHeight="1">
      <c r="A310" s="114" t="s">
        <v>246</v>
      </c>
      <c r="B310" s="28">
        <v>176</v>
      </c>
      <c r="C310" s="28">
        <v>388</v>
      </c>
      <c r="D310" s="28">
        <v>384</v>
      </c>
      <c r="E310" s="111">
        <f t="shared" si="9"/>
        <v>118.18181818181819</v>
      </c>
      <c r="F310" s="108">
        <f t="shared" si="8"/>
        <v>98.96907216494846</v>
      </c>
      <c r="GU310" s="57"/>
    </row>
    <row r="311" spans="1:203" ht="20.25" customHeight="1">
      <c r="A311" s="114" t="s">
        <v>247</v>
      </c>
      <c r="B311" s="112">
        <f>B312</f>
        <v>30</v>
      </c>
      <c r="C311" s="112">
        <f>C312</f>
        <v>168</v>
      </c>
      <c r="D311" s="112">
        <f>D312</f>
        <v>168</v>
      </c>
      <c r="E311" s="111">
        <f t="shared" si="9"/>
        <v>459.99999999999994</v>
      </c>
      <c r="F311" s="108">
        <f t="shared" si="8"/>
        <v>100</v>
      </c>
      <c r="GU311" s="57"/>
    </row>
    <row r="312" spans="1:203" ht="20.25" customHeight="1">
      <c r="A312" s="114" t="s">
        <v>248</v>
      </c>
      <c r="B312" s="28">
        <v>30</v>
      </c>
      <c r="C312" s="28">
        <v>168</v>
      </c>
      <c r="D312" s="28">
        <v>168</v>
      </c>
      <c r="E312" s="111">
        <f t="shared" si="9"/>
        <v>459.99999999999994</v>
      </c>
      <c r="F312" s="108">
        <f t="shared" si="8"/>
        <v>100</v>
      </c>
      <c r="GU312" s="57"/>
    </row>
    <row r="313" spans="1:203" ht="20.25" customHeight="1">
      <c r="A313" s="114" t="s">
        <v>249</v>
      </c>
      <c r="B313" s="112">
        <f>SUM(B314:B317)</f>
        <v>483</v>
      </c>
      <c r="C313" s="112">
        <f>SUM(C314:C317)</f>
        <v>1976</v>
      </c>
      <c r="D313" s="112">
        <f>SUM(D314:D317)</f>
        <v>2535</v>
      </c>
      <c r="E313" s="111">
        <f t="shared" si="9"/>
        <v>424.84472049689435</v>
      </c>
      <c r="F313" s="108">
        <f t="shared" si="8"/>
        <v>128.28947368421052</v>
      </c>
      <c r="GU313" s="57"/>
    </row>
    <row r="314" spans="1:203" ht="20.25" customHeight="1">
      <c r="A314" s="115" t="s">
        <v>603</v>
      </c>
      <c r="B314" s="112"/>
      <c r="C314" s="112">
        <v>125</v>
      </c>
      <c r="D314" s="112">
        <v>196</v>
      </c>
      <c r="E314" s="111"/>
      <c r="F314" s="108">
        <f t="shared" si="8"/>
        <v>156.8</v>
      </c>
      <c r="G314" s="25">
        <v>125</v>
      </c>
      <c r="GU314" s="57"/>
    </row>
    <row r="315" spans="1:203" ht="20.25" customHeight="1">
      <c r="A315" s="114" t="s">
        <v>250</v>
      </c>
      <c r="B315" s="112">
        <v>470</v>
      </c>
      <c r="C315" s="112">
        <v>1671</v>
      </c>
      <c r="D315" s="112">
        <v>2251</v>
      </c>
      <c r="E315" s="111">
        <f t="shared" si="9"/>
        <v>378.93617021276594</v>
      </c>
      <c r="F315" s="108">
        <f t="shared" si="8"/>
        <v>134.70975463794136</v>
      </c>
      <c r="G315" s="25">
        <v>1671</v>
      </c>
      <c r="GU315" s="57"/>
    </row>
    <row r="316" spans="1:203" ht="20.25" customHeight="1">
      <c r="A316" s="114" t="s">
        <v>251</v>
      </c>
      <c r="B316" s="28">
        <v>13</v>
      </c>
      <c r="C316" s="28">
        <f>88+92</f>
        <v>180</v>
      </c>
      <c r="D316" s="28"/>
      <c r="E316" s="111">
        <f t="shared" si="9"/>
        <v>-100</v>
      </c>
      <c r="F316" s="108">
        <f t="shared" si="8"/>
        <v>0</v>
      </c>
      <c r="G316" s="25">
        <v>92</v>
      </c>
      <c r="GU316" s="57"/>
    </row>
    <row r="317" spans="1:203" ht="20.25" customHeight="1">
      <c r="A317" s="27" t="s">
        <v>252</v>
      </c>
      <c r="B317" s="28"/>
      <c r="C317" s="28"/>
      <c r="D317" s="28">
        <v>88</v>
      </c>
      <c r="E317" s="111"/>
      <c r="F317" s="108"/>
      <c r="GU317" s="57"/>
    </row>
    <row r="318" spans="1:203" ht="20.25" customHeight="1">
      <c r="A318" s="114" t="s">
        <v>253</v>
      </c>
      <c r="B318" s="112">
        <f>SUM(B319:B320)</f>
        <v>71</v>
      </c>
      <c r="C318" s="112">
        <f>SUM(C319:C320)</f>
        <v>335</v>
      </c>
      <c r="D318" s="112">
        <f>SUM(D319:D320)</f>
        <v>155</v>
      </c>
      <c r="E318" s="111">
        <f t="shared" si="9"/>
        <v>118.30985915492957</v>
      </c>
      <c r="F318" s="108">
        <f t="shared" si="8"/>
        <v>46.26865671641791</v>
      </c>
      <c r="GU318" s="57"/>
    </row>
    <row r="319" spans="1:203" ht="20.25" customHeight="1">
      <c r="A319" s="114" t="s">
        <v>254</v>
      </c>
      <c r="B319" s="28">
        <v>54</v>
      </c>
      <c r="C319" s="28">
        <v>15</v>
      </c>
      <c r="D319" s="28">
        <v>25</v>
      </c>
      <c r="E319" s="111">
        <f t="shared" si="9"/>
        <v>-53.70370370370371</v>
      </c>
      <c r="F319" s="108">
        <f t="shared" si="8"/>
        <v>166.66666666666669</v>
      </c>
      <c r="GU319" s="57"/>
    </row>
    <row r="320" spans="1:203" ht="20.25" customHeight="1">
      <c r="A320" s="114" t="s">
        <v>255</v>
      </c>
      <c r="B320" s="28">
        <v>17</v>
      </c>
      <c r="C320" s="28">
        <f>295+25</f>
        <v>320</v>
      </c>
      <c r="D320" s="28">
        <v>130</v>
      </c>
      <c r="E320" s="111">
        <f t="shared" si="9"/>
        <v>664.7058823529412</v>
      </c>
      <c r="F320" s="108">
        <f t="shared" si="8"/>
        <v>40.625</v>
      </c>
      <c r="G320" s="25">
        <v>25</v>
      </c>
      <c r="GU320" s="57"/>
    </row>
    <row r="321" spans="1:203" ht="20.25" customHeight="1">
      <c r="A321" s="114" t="s">
        <v>256</v>
      </c>
      <c r="B321" s="28"/>
      <c r="C321" s="28"/>
      <c r="D321" s="28"/>
      <c r="E321" s="111"/>
      <c r="F321" s="108"/>
      <c r="GU321" s="57"/>
    </row>
    <row r="322" spans="1:203" ht="20.25" customHeight="1">
      <c r="A322" s="27" t="s">
        <v>257</v>
      </c>
      <c r="B322" s="112">
        <f>B323</f>
        <v>1775</v>
      </c>
      <c r="C322" s="112">
        <f>C323</f>
        <v>1797</v>
      </c>
      <c r="D322" s="112">
        <f>D323</f>
        <v>1798</v>
      </c>
      <c r="E322" s="111">
        <f t="shared" si="9"/>
        <v>1.295774647887324</v>
      </c>
      <c r="F322" s="108">
        <f t="shared" si="8"/>
        <v>100.05564830272678</v>
      </c>
      <c r="GU322" s="57"/>
    </row>
    <row r="323" spans="1:203" ht="20.25" customHeight="1">
      <c r="A323" s="27" t="s">
        <v>258</v>
      </c>
      <c r="B323" s="28">
        <v>1775</v>
      </c>
      <c r="C323" s="28">
        <v>1797</v>
      </c>
      <c r="D323" s="28">
        <v>1798</v>
      </c>
      <c r="E323" s="111">
        <f t="shared" si="9"/>
        <v>1.295774647887324</v>
      </c>
      <c r="F323" s="108">
        <f t="shared" si="8"/>
        <v>100.05564830272678</v>
      </c>
      <c r="G323" s="25">
        <v>1797</v>
      </c>
      <c r="GU323" s="57"/>
    </row>
    <row r="324" spans="1:203" ht="20.25" customHeight="1">
      <c r="A324" s="114" t="s">
        <v>259</v>
      </c>
      <c r="B324" s="112">
        <f>SUM(B325:B328)</f>
        <v>1075</v>
      </c>
      <c r="C324" s="112">
        <f>SUM(C325:C328)</f>
        <v>1026</v>
      </c>
      <c r="D324" s="112">
        <f>SUM(D325:D328)</f>
        <v>1025</v>
      </c>
      <c r="E324" s="111">
        <f t="shared" si="9"/>
        <v>-4.651162790697675</v>
      </c>
      <c r="F324" s="108">
        <f t="shared" si="8"/>
        <v>99.90253411306043</v>
      </c>
      <c r="GU324" s="57"/>
    </row>
    <row r="325" spans="1:203" ht="20.25" customHeight="1">
      <c r="A325" s="114" t="s">
        <v>260</v>
      </c>
      <c r="B325" s="112">
        <v>180</v>
      </c>
      <c r="C325" s="112">
        <v>180</v>
      </c>
      <c r="D325" s="112">
        <v>180</v>
      </c>
      <c r="E325" s="111">
        <f t="shared" si="9"/>
        <v>0</v>
      </c>
      <c r="F325" s="108">
        <f t="shared" si="8"/>
        <v>100</v>
      </c>
      <c r="G325" s="25">
        <v>180</v>
      </c>
      <c r="GU325" s="57"/>
    </row>
    <row r="326" spans="1:203" ht="20.25" customHeight="1">
      <c r="A326" s="114" t="s">
        <v>261</v>
      </c>
      <c r="B326" s="28">
        <v>530</v>
      </c>
      <c r="C326" s="28">
        <v>530</v>
      </c>
      <c r="D326" s="28"/>
      <c r="E326" s="111">
        <f t="shared" si="9"/>
        <v>-100</v>
      </c>
      <c r="F326" s="108">
        <f aca="true" t="shared" si="11" ref="F326:F389">D326/C326*100</f>
        <v>0</v>
      </c>
      <c r="G326" s="25">
        <v>530</v>
      </c>
      <c r="GU326" s="57"/>
    </row>
    <row r="327" spans="1:203" ht="20.25" customHeight="1">
      <c r="A327" s="115" t="s">
        <v>604</v>
      </c>
      <c r="B327" s="28"/>
      <c r="C327" s="28">
        <v>19</v>
      </c>
      <c r="D327" s="28">
        <v>18</v>
      </c>
      <c r="E327" s="111"/>
      <c r="F327" s="108">
        <f t="shared" si="11"/>
        <v>94.73684210526315</v>
      </c>
      <c r="G327" s="25">
        <v>19</v>
      </c>
      <c r="GU327" s="57"/>
    </row>
    <row r="328" spans="1:203" ht="20.25" customHeight="1">
      <c r="A328" s="114" t="s">
        <v>262</v>
      </c>
      <c r="B328" s="28">
        <v>365</v>
      </c>
      <c r="C328" s="28">
        <v>297</v>
      </c>
      <c r="D328" s="28">
        <v>827</v>
      </c>
      <c r="E328" s="111">
        <f t="shared" si="9"/>
        <v>126.57534246575341</v>
      </c>
      <c r="F328" s="108">
        <f t="shared" si="11"/>
        <v>278.45117845117846</v>
      </c>
      <c r="G328" s="25">
        <v>297</v>
      </c>
      <c r="GU328" s="57"/>
    </row>
    <row r="329" spans="1:203" ht="20.25" customHeight="1">
      <c r="A329" s="27" t="s">
        <v>263</v>
      </c>
      <c r="B329" s="28">
        <f>B330</f>
        <v>0</v>
      </c>
      <c r="C329" s="28">
        <f>C330</f>
        <v>0</v>
      </c>
      <c r="D329" s="28">
        <f>D330</f>
        <v>0</v>
      </c>
      <c r="E329" s="111"/>
      <c r="F329" s="108"/>
      <c r="GU329" s="57"/>
    </row>
    <row r="330" spans="1:203" ht="20.25" customHeight="1">
      <c r="A330" s="27" t="s">
        <v>264</v>
      </c>
      <c r="B330" s="28"/>
      <c r="C330" s="28"/>
      <c r="D330" s="28"/>
      <c r="E330" s="111"/>
      <c r="F330" s="108"/>
      <c r="GU330" s="57"/>
    </row>
    <row r="331" spans="1:203" ht="20.25" customHeight="1">
      <c r="A331" s="27" t="s">
        <v>265</v>
      </c>
      <c r="B331" s="28">
        <f>B332</f>
        <v>0</v>
      </c>
      <c r="C331" s="28"/>
      <c r="D331" s="28">
        <f>D332</f>
        <v>0</v>
      </c>
      <c r="E331" s="111"/>
      <c r="F331" s="108"/>
      <c r="GU331" s="57"/>
    </row>
    <row r="332" spans="1:203" ht="20.25" customHeight="1">
      <c r="A332" s="27" t="s">
        <v>266</v>
      </c>
      <c r="B332" s="28"/>
      <c r="C332" s="28"/>
      <c r="D332" s="28"/>
      <c r="E332" s="111"/>
      <c r="F332" s="108"/>
      <c r="GU332" s="57"/>
    </row>
    <row r="333" spans="1:203" ht="20.25" customHeight="1">
      <c r="A333" s="114" t="s">
        <v>267</v>
      </c>
      <c r="B333" s="112">
        <f>B334+B338+B340+B343+B345+B347</f>
        <v>4355</v>
      </c>
      <c r="C333" s="112">
        <f>C334+C338+C340+C343+C345+C347</f>
        <v>7146</v>
      </c>
      <c r="D333" s="112">
        <f>D334+D338+D340+D343+D345+D347</f>
        <v>8094</v>
      </c>
      <c r="E333" s="111">
        <f t="shared" si="9"/>
        <v>85.85533869115959</v>
      </c>
      <c r="F333" s="108">
        <f t="shared" si="11"/>
        <v>113.26616288832913</v>
      </c>
      <c r="GU333" s="57"/>
    </row>
    <row r="334" spans="1:203" ht="20.25" customHeight="1">
      <c r="A334" s="114" t="s">
        <v>268</v>
      </c>
      <c r="B334" s="112">
        <f>SUM(B335:B337)</f>
        <v>1494</v>
      </c>
      <c r="C334" s="112">
        <f>SUM(C335:C337)</f>
        <v>706</v>
      </c>
      <c r="D334" s="112">
        <f>SUM(D335:D337)</f>
        <v>1288</v>
      </c>
      <c r="E334" s="111">
        <f t="shared" si="9"/>
        <v>-13.788487282463185</v>
      </c>
      <c r="F334" s="108">
        <f t="shared" si="11"/>
        <v>182.43626062322946</v>
      </c>
      <c r="GU334" s="57"/>
    </row>
    <row r="335" spans="1:203" ht="20.25" customHeight="1">
      <c r="A335" s="114" t="s">
        <v>35</v>
      </c>
      <c r="B335" s="28">
        <v>130</v>
      </c>
      <c r="C335" s="28">
        <v>111</v>
      </c>
      <c r="D335" s="28">
        <v>122</v>
      </c>
      <c r="E335" s="111">
        <f t="shared" si="9"/>
        <v>-6.153846153846154</v>
      </c>
      <c r="F335" s="108">
        <f t="shared" si="11"/>
        <v>109.90990990990991</v>
      </c>
      <c r="GU335" s="57"/>
    </row>
    <row r="336" spans="1:203" ht="20.25" customHeight="1">
      <c r="A336" s="114" t="s">
        <v>269</v>
      </c>
      <c r="B336" s="28">
        <v>203</v>
      </c>
      <c r="C336" s="28">
        <v>175</v>
      </c>
      <c r="D336" s="28">
        <v>239</v>
      </c>
      <c r="E336" s="111">
        <f t="shared" si="9"/>
        <v>17.733990147783253</v>
      </c>
      <c r="F336" s="108">
        <f t="shared" si="11"/>
        <v>136.57142857142856</v>
      </c>
      <c r="GU336" s="57"/>
    </row>
    <row r="337" spans="1:203" ht="20.25" customHeight="1">
      <c r="A337" s="114" t="s">
        <v>270</v>
      </c>
      <c r="B337" s="28">
        <v>1161</v>
      </c>
      <c r="C337" s="28">
        <v>420</v>
      </c>
      <c r="D337" s="28">
        <v>927</v>
      </c>
      <c r="E337" s="111">
        <f t="shared" si="9"/>
        <v>-20.155038759689923</v>
      </c>
      <c r="F337" s="108">
        <f t="shared" si="11"/>
        <v>220.71428571428572</v>
      </c>
      <c r="GU337" s="57"/>
    </row>
    <row r="338" spans="1:203" ht="20.25" customHeight="1">
      <c r="A338" s="114" t="s">
        <v>271</v>
      </c>
      <c r="B338" s="112">
        <f>B339</f>
        <v>31</v>
      </c>
      <c r="C338" s="112">
        <f>C339</f>
        <v>34</v>
      </c>
      <c r="D338" s="112">
        <f>D339</f>
        <v>39</v>
      </c>
      <c r="E338" s="111">
        <f t="shared" si="9"/>
        <v>25.806451612903224</v>
      </c>
      <c r="F338" s="108">
        <f t="shared" si="11"/>
        <v>114.70588235294117</v>
      </c>
      <c r="GU338" s="57"/>
    </row>
    <row r="339" spans="1:203" ht="20.25" customHeight="1">
      <c r="A339" s="114" t="s">
        <v>272</v>
      </c>
      <c r="B339" s="28">
        <v>31</v>
      </c>
      <c r="C339" s="28">
        <v>34</v>
      </c>
      <c r="D339" s="28">
        <v>39</v>
      </c>
      <c r="E339" s="111">
        <f t="shared" si="9"/>
        <v>25.806451612903224</v>
      </c>
      <c r="F339" s="108">
        <f t="shared" si="11"/>
        <v>114.70588235294117</v>
      </c>
      <c r="GU339" s="57"/>
    </row>
    <row r="340" spans="1:203" ht="20.25" customHeight="1">
      <c r="A340" s="114" t="s">
        <v>273</v>
      </c>
      <c r="B340" s="112">
        <f>SUM(B341:B342)</f>
        <v>1892</v>
      </c>
      <c r="C340" s="112">
        <f>SUM(C341:C342)</f>
        <v>5785</v>
      </c>
      <c r="D340" s="112">
        <f>SUM(D341:D342)</f>
        <v>5827</v>
      </c>
      <c r="E340" s="111">
        <f t="shared" si="9"/>
        <v>207.98097251585625</v>
      </c>
      <c r="F340" s="108">
        <f t="shared" si="11"/>
        <v>100.72601555747622</v>
      </c>
      <c r="GU340" s="57"/>
    </row>
    <row r="341" spans="1:203" ht="20.25" customHeight="1">
      <c r="A341" s="114" t="s">
        <v>274</v>
      </c>
      <c r="B341" s="28">
        <v>324</v>
      </c>
      <c r="C341" s="28">
        <v>78</v>
      </c>
      <c r="D341" s="28">
        <v>75</v>
      </c>
      <c r="E341" s="111">
        <f t="shared" si="9"/>
        <v>-76.85185185185185</v>
      </c>
      <c r="F341" s="108">
        <f t="shared" si="11"/>
        <v>96.15384615384616</v>
      </c>
      <c r="GU341" s="57"/>
    </row>
    <row r="342" spans="1:203" ht="20.25" customHeight="1">
      <c r="A342" s="114" t="s">
        <v>275</v>
      </c>
      <c r="B342" s="28">
        <v>1568</v>
      </c>
      <c r="C342" s="28">
        <f>426+5281</f>
        <v>5707</v>
      </c>
      <c r="D342" s="28">
        <v>5752</v>
      </c>
      <c r="E342" s="111">
        <f aca="true" t="shared" si="12" ref="E342:E406">(D342-B342)/B342*100</f>
        <v>266.83673469387753</v>
      </c>
      <c r="F342" s="108">
        <f t="shared" si="11"/>
        <v>100.788505344314</v>
      </c>
      <c r="G342" s="25">
        <v>5281</v>
      </c>
      <c r="GU342" s="57"/>
    </row>
    <row r="343" spans="1:203" ht="20.25" customHeight="1">
      <c r="A343" s="114" t="s">
        <v>276</v>
      </c>
      <c r="B343" s="112">
        <f>B344</f>
        <v>897</v>
      </c>
      <c r="C343" s="112">
        <f>C344</f>
        <v>588</v>
      </c>
      <c r="D343" s="112">
        <f>D344</f>
        <v>903</v>
      </c>
      <c r="E343" s="111">
        <f t="shared" si="12"/>
        <v>0.6688963210702341</v>
      </c>
      <c r="F343" s="108">
        <f t="shared" si="11"/>
        <v>153.57142857142858</v>
      </c>
      <c r="GU343" s="57"/>
    </row>
    <row r="344" spans="1:203" ht="20.25" customHeight="1">
      <c r="A344" s="114" t="s">
        <v>277</v>
      </c>
      <c r="B344" s="28">
        <v>897</v>
      </c>
      <c r="C344" s="28">
        <v>588</v>
      </c>
      <c r="D344" s="28">
        <v>903</v>
      </c>
      <c r="E344" s="111">
        <f t="shared" si="12"/>
        <v>0.6688963210702341</v>
      </c>
      <c r="F344" s="108">
        <f t="shared" si="11"/>
        <v>153.57142857142858</v>
      </c>
      <c r="GU344" s="57"/>
    </row>
    <row r="345" spans="1:203" ht="20.25" customHeight="1">
      <c r="A345" s="114" t="s">
        <v>278</v>
      </c>
      <c r="B345" s="112">
        <f>B346</f>
        <v>41</v>
      </c>
      <c r="C345" s="112">
        <f>C346</f>
        <v>33</v>
      </c>
      <c r="D345" s="112">
        <f>D346</f>
        <v>37</v>
      </c>
      <c r="E345" s="111">
        <f t="shared" si="12"/>
        <v>-9.75609756097561</v>
      </c>
      <c r="F345" s="108">
        <f t="shared" si="11"/>
        <v>112.12121212121211</v>
      </c>
      <c r="GU345" s="57"/>
    </row>
    <row r="346" spans="1:203" ht="20.25" customHeight="1">
      <c r="A346" s="114" t="s">
        <v>279</v>
      </c>
      <c r="B346" s="28">
        <v>41</v>
      </c>
      <c r="C346" s="28">
        <v>33</v>
      </c>
      <c r="D346" s="28">
        <v>37</v>
      </c>
      <c r="E346" s="111">
        <f t="shared" si="12"/>
        <v>-9.75609756097561</v>
      </c>
      <c r="F346" s="108">
        <f t="shared" si="11"/>
        <v>112.12121212121211</v>
      </c>
      <c r="GU346" s="57"/>
    </row>
    <row r="347" spans="1:203" ht="20.25" customHeight="1">
      <c r="A347" s="27" t="s">
        <v>280</v>
      </c>
      <c r="B347" s="112">
        <f>B348</f>
        <v>0</v>
      </c>
      <c r="C347" s="112"/>
      <c r="D347" s="112">
        <f>D348</f>
        <v>0</v>
      </c>
      <c r="E347" s="111"/>
      <c r="F347" s="108"/>
      <c r="GU347" s="57"/>
    </row>
    <row r="348" spans="1:203" ht="20.25" customHeight="1">
      <c r="A348" s="27" t="s">
        <v>281</v>
      </c>
      <c r="B348" s="28"/>
      <c r="C348" s="28"/>
      <c r="D348" s="28"/>
      <c r="E348" s="111"/>
      <c r="F348" s="108"/>
      <c r="GU348" s="57"/>
    </row>
    <row r="349" spans="1:6" ht="20.25" customHeight="1">
      <c r="A349" s="114" t="s">
        <v>282</v>
      </c>
      <c r="B349" s="112">
        <f>B350+B371+B391+B407+B413+B418+B425+B434+B432</f>
        <v>57353</v>
      </c>
      <c r="C349" s="112">
        <f>C350+C371+C391+C407+C413+C418+C425+C434+C432</f>
        <v>51896</v>
      </c>
      <c r="D349" s="112">
        <f>D350+D371+D391+D407+D413+D418+D425+D434+D432</f>
        <v>55375</v>
      </c>
      <c r="E349" s="111">
        <f t="shared" si="12"/>
        <v>-3.448816975572333</v>
      </c>
      <c r="F349" s="108">
        <f t="shared" si="11"/>
        <v>106.70379219978419</v>
      </c>
    </row>
    <row r="350" spans="1:6" ht="20.25" customHeight="1">
      <c r="A350" s="114" t="s">
        <v>283</v>
      </c>
      <c r="B350" s="112">
        <f>SUM(B351:B370)</f>
        <v>13627</v>
      </c>
      <c r="C350" s="112">
        <f>SUM(C351:C370)</f>
        <v>18732</v>
      </c>
      <c r="D350" s="112">
        <f>SUM(D351:D370)</f>
        <v>19190</v>
      </c>
      <c r="E350" s="111">
        <f t="shared" si="12"/>
        <v>40.823365377559256</v>
      </c>
      <c r="F350" s="108">
        <f t="shared" si="11"/>
        <v>102.44501387999145</v>
      </c>
    </row>
    <row r="351" spans="1:6" ht="20.25" customHeight="1">
      <c r="A351" s="114" t="s">
        <v>35</v>
      </c>
      <c r="B351" s="28">
        <v>312</v>
      </c>
      <c r="C351" s="28">
        <v>269</v>
      </c>
      <c r="D351" s="28">
        <v>309</v>
      </c>
      <c r="E351" s="111">
        <f t="shared" si="12"/>
        <v>-0.9615384615384616</v>
      </c>
      <c r="F351" s="108">
        <f t="shared" si="11"/>
        <v>114.86988847583643</v>
      </c>
    </row>
    <row r="352" spans="1:6" ht="20.25" customHeight="1">
      <c r="A352" s="114" t="s">
        <v>46</v>
      </c>
      <c r="B352" s="28">
        <v>1865</v>
      </c>
      <c r="C352" s="28">
        <v>1602</v>
      </c>
      <c r="D352" s="28">
        <v>1838</v>
      </c>
      <c r="E352" s="111">
        <f t="shared" si="12"/>
        <v>-1.447721179624665</v>
      </c>
      <c r="F352" s="108">
        <f t="shared" si="11"/>
        <v>114.73158551810236</v>
      </c>
    </row>
    <row r="353" spans="1:7" ht="20.25" customHeight="1">
      <c r="A353" s="114" t="s">
        <v>284</v>
      </c>
      <c r="B353" s="28">
        <v>1625</v>
      </c>
      <c r="C353" s="28">
        <f>18+2076</f>
        <v>2094</v>
      </c>
      <c r="D353" s="28">
        <v>2094</v>
      </c>
      <c r="E353" s="111">
        <f t="shared" si="12"/>
        <v>28.861538461538462</v>
      </c>
      <c r="F353" s="108">
        <f t="shared" si="11"/>
        <v>100</v>
      </c>
      <c r="G353" s="25">
        <v>2076</v>
      </c>
    </row>
    <row r="354" spans="1:7" ht="20.25" customHeight="1">
      <c r="A354" s="114" t="s">
        <v>285</v>
      </c>
      <c r="B354" s="28">
        <v>285</v>
      </c>
      <c r="C354" s="28">
        <f>61+79</f>
        <v>140</v>
      </c>
      <c r="D354" s="28">
        <v>180</v>
      </c>
      <c r="E354" s="111">
        <f t="shared" si="12"/>
        <v>-36.84210526315789</v>
      </c>
      <c r="F354" s="108">
        <f t="shared" si="11"/>
        <v>128.57142857142858</v>
      </c>
      <c r="G354" s="25">
        <v>79</v>
      </c>
    </row>
    <row r="355" spans="1:7" ht="20.25" customHeight="1">
      <c r="A355" s="114" t="s">
        <v>286</v>
      </c>
      <c r="B355" s="28">
        <v>3</v>
      </c>
      <c r="C355" s="28">
        <f>9+50</f>
        <v>59</v>
      </c>
      <c r="D355" s="28">
        <v>59</v>
      </c>
      <c r="E355" s="111">
        <f t="shared" si="12"/>
        <v>1866.6666666666667</v>
      </c>
      <c r="F355" s="108">
        <f t="shared" si="11"/>
        <v>100</v>
      </c>
      <c r="G355" s="25">
        <v>50</v>
      </c>
    </row>
    <row r="356" spans="1:7" ht="20.25" customHeight="1">
      <c r="A356" s="114" t="s">
        <v>287</v>
      </c>
      <c r="B356" s="28">
        <v>85</v>
      </c>
      <c r="C356" s="28">
        <f>18+18</f>
        <v>36</v>
      </c>
      <c r="D356" s="28">
        <v>36</v>
      </c>
      <c r="E356" s="111">
        <f t="shared" si="12"/>
        <v>-57.647058823529406</v>
      </c>
      <c r="F356" s="108">
        <f t="shared" si="11"/>
        <v>100</v>
      </c>
      <c r="G356" s="25">
        <v>18</v>
      </c>
    </row>
    <row r="357" spans="1:7" ht="20.25" customHeight="1">
      <c r="A357" s="114" t="s">
        <v>288</v>
      </c>
      <c r="B357" s="28">
        <v>9</v>
      </c>
      <c r="C357" s="28">
        <f>4+4</f>
        <v>8</v>
      </c>
      <c r="D357" s="28">
        <v>14</v>
      </c>
      <c r="E357" s="111">
        <f t="shared" si="12"/>
        <v>55.55555555555556</v>
      </c>
      <c r="F357" s="108">
        <f t="shared" si="11"/>
        <v>175</v>
      </c>
      <c r="G357" s="25">
        <v>4</v>
      </c>
    </row>
    <row r="358" spans="1:7" ht="20.25" customHeight="1">
      <c r="A358" s="114" t="s">
        <v>289</v>
      </c>
      <c r="B358" s="28">
        <v>200</v>
      </c>
      <c r="C358" s="28">
        <v>175</v>
      </c>
      <c r="D358" s="28">
        <v>175</v>
      </c>
      <c r="E358" s="111">
        <f t="shared" si="12"/>
        <v>-12.5</v>
      </c>
      <c r="F358" s="108">
        <f t="shared" si="11"/>
        <v>100</v>
      </c>
      <c r="G358" s="25">
        <v>175</v>
      </c>
    </row>
    <row r="359" spans="1:6" ht="20.25" customHeight="1">
      <c r="A359" s="27" t="s">
        <v>290</v>
      </c>
      <c r="B359" s="28"/>
      <c r="C359" s="28"/>
      <c r="D359" s="28"/>
      <c r="E359" s="111"/>
      <c r="F359" s="108"/>
    </row>
    <row r="360" spans="1:7" ht="20.25" customHeight="1">
      <c r="A360" s="27" t="s">
        <v>291</v>
      </c>
      <c r="B360" s="28">
        <v>10</v>
      </c>
      <c r="C360" s="28">
        <v>5615</v>
      </c>
      <c r="D360" s="28">
        <v>5615</v>
      </c>
      <c r="E360" s="111">
        <f t="shared" si="12"/>
        <v>56050</v>
      </c>
      <c r="F360" s="108">
        <f t="shared" si="11"/>
        <v>100</v>
      </c>
      <c r="G360" s="25">
        <v>5615</v>
      </c>
    </row>
    <row r="361" spans="1:7" ht="20.25" customHeight="1">
      <c r="A361" s="27" t="s">
        <v>292</v>
      </c>
      <c r="B361" s="28">
        <v>432</v>
      </c>
      <c r="C361" s="28">
        <v>143</v>
      </c>
      <c r="D361" s="28">
        <v>143</v>
      </c>
      <c r="E361" s="111">
        <f t="shared" si="12"/>
        <v>-66.89814814814815</v>
      </c>
      <c r="F361" s="108">
        <f t="shared" si="11"/>
        <v>100</v>
      </c>
      <c r="G361" s="25">
        <v>143</v>
      </c>
    </row>
    <row r="362" spans="1:7" ht="20.25" customHeight="1">
      <c r="A362" s="114" t="s">
        <v>293</v>
      </c>
      <c r="B362" s="28">
        <v>4900</v>
      </c>
      <c r="C362" s="28">
        <v>5160</v>
      </c>
      <c r="D362" s="28">
        <v>5160</v>
      </c>
      <c r="E362" s="111">
        <f t="shared" si="12"/>
        <v>5.3061224489795915</v>
      </c>
      <c r="F362" s="108">
        <f t="shared" si="11"/>
        <v>100</v>
      </c>
      <c r="G362" s="25">
        <v>5160</v>
      </c>
    </row>
    <row r="363" spans="1:6" ht="20.25" customHeight="1">
      <c r="A363" s="114" t="s">
        <v>294</v>
      </c>
      <c r="B363" s="28"/>
      <c r="C363" s="28"/>
      <c r="D363" s="28"/>
      <c r="E363" s="111"/>
      <c r="F363" s="108"/>
    </row>
    <row r="364" spans="1:7" ht="20.25" customHeight="1">
      <c r="A364" s="114" t="s">
        <v>295</v>
      </c>
      <c r="B364" s="28">
        <v>189</v>
      </c>
      <c r="C364" s="28">
        <f>300+82</f>
        <v>382</v>
      </c>
      <c r="D364" s="28">
        <v>82</v>
      </c>
      <c r="E364" s="111">
        <f t="shared" si="12"/>
        <v>-56.613756613756614</v>
      </c>
      <c r="F364" s="108">
        <f t="shared" si="11"/>
        <v>21.465968586387437</v>
      </c>
      <c r="G364" s="25">
        <v>82</v>
      </c>
    </row>
    <row r="365" spans="1:6" ht="20.25" customHeight="1">
      <c r="A365" s="27" t="s">
        <v>296</v>
      </c>
      <c r="B365" s="28"/>
      <c r="C365" s="28"/>
      <c r="D365" s="28"/>
      <c r="E365" s="111"/>
      <c r="F365" s="108"/>
    </row>
    <row r="366" spans="1:6" ht="20.25" customHeight="1">
      <c r="A366" s="114" t="s">
        <v>297</v>
      </c>
      <c r="B366" s="28">
        <v>194</v>
      </c>
      <c r="C366" s="28">
        <v>400</v>
      </c>
      <c r="D366" s="28">
        <v>367</v>
      </c>
      <c r="E366" s="111">
        <f t="shared" si="12"/>
        <v>89.17525773195877</v>
      </c>
      <c r="F366" s="108">
        <f t="shared" si="11"/>
        <v>91.75</v>
      </c>
    </row>
    <row r="367" spans="1:6" ht="20.25" customHeight="1">
      <c r="A367" s="114" t="s">
        <v>298</v>
      </c>
      <c r="B367" s="28">
        <v>154</v>
      </c>
      <c r="C367" s="28">
        <v>300</v>
      </c>
      <c r="D367" s="28">
        <v>434</v>
      </c>
      <c r="E367" s="111">
        <f t="shared" si="12"/>
        <v>181.8181818181818</v>
      </c>
      <c r="F367" s="108">
        <f t="shared" si="11"/>
        <v>144.66666666666669</v>
      </c>
    </row>
    <row r="368" spans="1:6" ht="20.25" customHeight="1">
      <c r="A368" s="114" t="s">
        <v>299</v>
      </c>
      <c r="B368" s="28">
        <v>932</v>
      </c>
      <c r="C368" s="28">
        <v>1415</v>
      </c>
      <c r="D368" s="28">
        <v>1723</v>
      </c>
      <c r="E368" s="111">
        <f t="shared" si="12"/>
        <v>84.87124463519314</v>
      </c>
      <c r="F368" s="108">
        <f t="shared" si="11"/>
        <v>121.76678445229683</v>
      </c>
    </row>
    <row r="369" spans="1:6" ht="20.25" customHeight="1">
      <c r="A369" s="60" t="s">
        <v>300</v>
      </c>
      <c r="B369" s="28"/>
      <c r="C369" s="28"/>
      <c r="D369" s="28"/>
      <c r="E369" s="111"/>
      <c r="F369" s="108"/>
    </row>
    <row r="370" spans="1:7" ht="20.25" customHeight="1">
      <c r="A370" s="114" t="s">
        <v>301</v>
      </c>
      <c r="B370" s="28">
        <v>2432</v>
      </c>
      <c r="C370" s="28">
        <f>74+860</f>
        <v>934</v>
      </c>
      <c r="D370" s="28">
        <v>961</v>
      </c>
      <c r="E370" s="111">
        <f t="shared" si="12"/>
        <v>-60.48519736842105</v>
      </c>
      <c r="F370" s="108">
        <f t="shared" si="11"/>
        <v>102.89079229122055</v>
      </c>
      <c r="G370" s="25">
        <v>860</v>
      </c>
    </row>
    <row r="371" spans="1:6" ht="20.25" customHeight="1">
      <c r="A371" s="114" t="s">
        <v>302</v>
      </c>
      <c r="B371" s="112">
        <f>SUM(B372:B390)</f>
        <v>8565</v>
      </c>
      <c r="C371" s="112">
        <f>SUM(C372:C390)</f>
        <v>9872</v>
      </c>
      <c r="D371" s="112">
        <f>SUM(D372:D390)</f>
        <v>10689</v>
      </c>
      <c r="E371" s="111">
        <f t="shared" si="12"/>
        <v>24.798598949211907</v>
      </c>
      <c r="F371" s="108">
        <f t="shared" si="11"/>
        <v>108.27593192868719</v>
      </c>
    </row>
    <row r="372" spans="1:6" ht="20.25" customHeight="1">
      <c r="A372" s="114" t="s">
        <v>35</v>
      </c>
      <c r="B372" s="28">
        <v>421</v>
      </c>
      <c r="C372" s="28">
        <v>301</v>
      </c>
      <c r="D372" s="28">
        <v>356</v>
      </c>
      <c r="E372" s="111">
        <f t="shared" si="12"/>
        <v>-15.439429928741092</v>
      </c>
      <c r="F372" s="108">
        <f t="shared" si="11"/>
        <v>118.27242524916943</v>
      </c>
    </row>
    <row r="373" spans="1:6" ht="20.25" customHeight="1">
      <c r="A373" s="114" t="s">
        <v>303</v>
      </c>
      <c r="B373" s="28">
        <v>1375</v>
      </c>
      <c r="C373" s="28">
        <v>1196</v>
      </c>
      <c r="D373" s="28">
        <v>1317</v>
      </c>
      <c r="E373" s="111">
        <f t="shared" si="12"/>
        <v>-4.218181818181818</v>
      </c>
      <c r="F373" s="108">
        <f t="shared" si="11"/>
        <v>110.11705685618729</v>
      </c>
    </row>
    <row r="374" spans="1:7" ht="20.25" customHeight="1">
      <c r="A374" s="114" t="s">
        <v>304</v>
      </c>
      <c r="B374" s="28">
        <v>1945</v>
      </c>
      <c r="C374" s="28">
        <v>1727</v>
      </c>
      <c r="D374" s="28">
        <v>1727</v>
      </c>
      <c r="E374" s="111">
        <f t="shared" si="12"/>
        <v>-11.208226221079691</v>
      </c>
      <c r="F374" s="108">
        <f t="shared" si="11"/>
        <v>100</v>
      </c>
      <c r="G374" s="25">
        <v>1727</v>
      </c>
    </row>
    <row r="375" spans="1:7" ht="20.25" customHeight="1">
      <c r="A375" s="27" t="s">
        <v>305</v>
      </c>
      <c r="B375" s="28"/>
      <c r="C375" s="28">
        <v>86</v>
      </c>
      <c r="D375" s="28">
        <v>86</v>
      </c>
      <c r="E375" s="111"/>
      <c r="F375" s="108">
        <f t="shared" si="11"/>
        <v>100</v>
      </c>
      <c r="G375" s="25">
        <v>86</v>
      </c>
    </row>
    <row r="376" spans="1:7" ht="20.25" customHeight="1">
      <c r="A376" s="59" t="s">
        <v>306</v>
      </c>
      <c r="B376" s="28">
        <v>80</v>
      </c>
      <c r="C376" s="28">
        <f>75+14</f>
        <v>89</v>
      </c>
      <c r="D376" s="28">
        <v>89</v>
      </c>
      <c r="E376" s="111">
        <f t="shared" si="12"/>
        <v>11.25</v>
      </c>
      <c r="F376" s="108">
        <f t="shared" si="11"/>
        <v>100</v>
      </c>
      <c r="G376" s="25">
        <v>14</v>
      </c>
    </row>
    <row r="377" spans="1:7" ht="20.25" customHeight="1">
      <c r="A377" s="172" t="s">
        <v>605</v>
      </c>
      <c r="B377" s="28"/>
      <c r="C377" s="28">
        <v>3</v>
      </c>
      <c r="D377" s="28">
        <v>3</v>
      </c>
      <c r="E377" s="111"/>
      <c r="F377" s="108">
        <f t="shared" si="11"/>
        <v>100</v>
      </c>
      <c r="G377" s="25">
        <v>3</v>
      </c>
    </row>
    <row r="378" spans="1:7" ht="20.25" customHeight="1">
      <c r="A378" s="61" t="s">
        <v>307</v>
      </c>
      <c r="B378" s="28">
        <v>3642</v>
      </c>
      <c r="C378" s="28">
        <v>3708</v>
      </c>
      <c r="D378" s="28">
        <v>3708</v>
      </c>
      <c r="E378" s="111">
        <f t="shared" si="12"/>
        <v>1.8121911037891267</v>
      </c>
      <c r="F378" s="108">
        <f t="shared" si="11"/>
        <v>100</v>
      </c>
      <c r="G378" s="25">
        <v>3708</v>
      </c>
    </row>
    <row r="379" spans="1:6" ht="20.25" customHeight="1">
      <c r="A379" s="61" t="s">
        <v>308</v>
      </c>
      <c r="B379" s="28">
        <v>20</v>
      </c>
      <c r="C379" s="28"/>
      <c r="D379" s="28"/>
      <c r="E379" s="111">
        <f t="shared" si="12"/>
        <v>-100</v>
      </c>
      <c r="F379" s="108"/>
    </row>
    <row r="380" spans="1:6" ht="20.25" customHeight="1">
      <c r="A380" s="27" t="s">
        <v>309</v>
      </c>
      <c r="B380" s="28"/>
      <c r="C380" s="28"/>
      <c r="D380" s="28"/>
      <c r="E380" s="111"/>
      <c r="F380" s="108"/>
    </row>
    <row r="381" spans="1:6" ht="20.25" customHeight="1">
      <c r="A381" s="61" t="s">
        <v>310</v>
      </c>
      <c r="B381" s="28">
        <v>5</v>
      </c>
      <c r="C381" s="28"/>
      <c r="D381" s="28"/>
      <c r="E381" s="111">
        <f t="shared" si="12"/>
        <v>-100</v>
      </c>
      <c r="F381" s="108"/>
    </row>
    <row r="382" spans="1:7" ht="20.25" customHeight="1">
      <c r="A382" s="60" t="s">
        <v>311</v>
      </c>
      <c r="B382" s="28">
        <v>194</v>
      </c>
      <c r="C382" s="28">
        <v>20</v>
      </c>
      <c r="D382" s="28">
        <v>434</v>
      </c>
      <c r="E382" s="111">
        <f t="shared" si="12"/>
        <v>123.71134020618557</v>
      </c>
      <c r="F382" s="108">
        <f t="shared" si="11"/>
        <v>2170</v>
      </c>
      <c r="G382" s="25">
        <v>20</v>
      </c>
    </row>
    <row r="383" spans="1:6" ht="20.25" customHeight="1">
      <c r="A383" s="27" t="s">
        <v>312</v>
      </c>
      <c r="B383" s="28">
        <v>10</v>
      </c>
      <c r="C383" s="28"/>
      <c r="D383" s="28">
        <v>10</v>
      </c>
      <c r="E383" s="111">
        <f t="shared" si="12"/>
        <v>0</v>
      </c>
      <c r="F383" s="108"/>
    </row>
    <row r="384" spans="1:6" ht="20.25" customHeight="1">
      <c r="A384" s="60" t="s">
        <v>313</v>
      </c>
      <c r="B384" s="28">
        <v>14</v>
      </c>
      <c r="C384" s="28"/>
      <c r="D384" s="28"/>
      <c r="E384" s="111">
        <f t="shared" si="12"/>
        <v>-100</v>
      </c>
      <c r="F384" s="108"/>
    </row>
    <row r="385" spans="1:6" ht="20.25" customHeight="1">
      <c r="A385" s="60" t="s">
        <v>314</v>
      </c>
      <c r="B385" s="28">
        <v>11</v>
      </c>
      <c r="C385" s="28"/>
      <c r="D385" s="28"/>
      <c r="E385" s="111">
        <f t="shared" si="12"/>
        <v>-100</v>
      </c>
      <c r="F385" s="108"/>
    </row>
    <row r="386" spans="1:6" ht="20.25" customHeight="1">
      <c r="A386" s="116" t="s">
        <v>315</v>
      </c>
      <c r="B386" s="28">
        <v>12</v>
      </c>
      <c r="C386" s="28"/>
      <c r="D386" s="28"/>
      <c r="E386" s="111">
        <f t="shared" si="12"/>
        <v>-100</v>
      </c>
      <c r="F386" s="108"/>
    </row>
    <row r="387" spans="1:7" ht="20.25" customHeight="1">
      <c r="A387" s="60" t="s">
        <v>316</v>
      </c>
      <c r="B387" s="28">
        <v>563</v>
      </c>
      <c r="C387" s="28">
        <f>903+28</f>
        <v>931</v>
      </c>
      <c r="D387" s="28">
        <v>931</v>
      </c>
      <c r="E387" s="111">
        <f t="shared" si="12"/>
        <v>65.36412078152753</v>
      </c>
      <c r="F387" s="108">
        <f t="shared" si="11"/>
        <v>100</v>
      </c>
      <c r="G387" s="25">
        <v>28</v>
      </c>
    </row>
    <row r="388" spans="1:6" ht="20.25" customHeight="1">
      <c r="A388" s="27" t="s">
        <v>317</v>
      </c>
      <c r="B388" s="28"/>
      <c r="C388" s="28"/>
      <c r="D388" s="28"/>
      <c r="E388" s="111"/>
      <c r="F388" s="108"/>
    </row>
    <row r="389" spans="1:7" ht="20.25" customHeight="1">
      <c r="A389" s="60" t="s">
        <v>318</v>
      </c>
      <c r="B389" s="28">
        <v>137</v>
      </c>
      <c r="C389" s="28">
        <v>57</v>
      </c>
      <c r="D389" s="28">
        <v>187</v>
      </c>
      <c r="E389" s="111">
        <f t="shared" si="12"/>
        <v>36.496350364963504</v>
      </c>
      <c r="F389" s="108">
        <f t="shared" si="11"/>
        <v>328.0701754385965</v>
      </c>
      <c r="G389" s="25">
        <v>57</v>
      </c>
    </row>
    <row r="390" spans="1:7" ht="20.25" customHeight="1">
      <c r="A390" s="114" t="s">
        <v>319</v>
      </c>
      <c r="B390" s="28">
        <v>136</v>
      </c>
      <c r="C390" s="28">
        <f>30+1724</f>
        <v>1754</v>
      </c>
      <c r="D390" s="28">
        <v>1841</v>
      </c>
      <c r="E390" s="111">
        <f t="shared" si="12"/>
        <v>1253.6764705882354</v>
      </c>
      <c r="F390" s="108">
        <f aca="true" t="shared" si="13" ref="F390:F453">D390/C390*100</f>
        <v>104.96009122006842</v>
      </c>
      <c r="G390" s="25">
        <v>1724</v>
      </c>
    </row>
    <row r="391" spans="1:6" ht="20.25" customHeight="1">
      <c r="A391" s="114" t="s">
        <v>320</v>
      </c>
      <c r="B391" s="112">
        <f>SUM(B392:B406)</f>
        <v>8919</v>
      </c>
      <c r="C391" s="112">
        <f>SUM(C392:C406)</f>
        <v>9317</v>
      </c>
      <c r="D391" s="112">
        <f>SUM(D392:D406)</f>
        <v>9642</v>
      </c>
      <c r="E391" s="111">
        <f t="shared" si="12"/>
        <v>8.106289942818702</v>
      </c>
      <c r="F391" s="108">
        <f t="shared" si="13"/>
        <v>103.48824728990019</v>
      </c>
    </row>
    <row r="392" spans="1:6" ht="20.25" customHeight="1">
      <c r="A392" s="114" t="s">
        <v>35</v>
      </c>
      <c r="B392" s="28">
        <v>83</v>
      </c>
      <c r="C392" s="28">
        <v>66</v>
      </c>
      <c r="D392" s="28">
        <v>80</v>
      </c>
      <c r="E392" s="111">
        <f t="shared" si="12"/>
        <v>-3.614457831325301</v>
      </c>
      <c r="F392" s="108">
        <f t="shared" si="13"/>
        <v>121.21212121212122</v>
      </c>
    </row>
    <row r="393" spans="1:7" ht="20.25" customHeight="1">
      <c r="A393" s="114" t="s">
        <v>321</v>
      </c>
      <c r="B393" s="28">
        <v>619</v>
      </c>
      <c r="C393" s="28">
        <f>440+12</f>
        <v>452</v>
      </c>
      <c r="D393" s="28">
        <v>601</v>
      </c>
      <c r="E393" s="111">
        <f t="shared" si="12"/>
        <v>-2.9079159935379644</v>
      </c>
      <c r="F393" s="108">
        <f t="shared" si="13"/>
        <v>132.9646017699115</v>
      </c>
      <c r="G393" s="25">
        <v>12</v>
      </c>
    </row>
    <row r="394" spans="1:7" ht="20.25" customHeight="1">
      <c r="A394" s="114" t="s">
        <v>322</v>
      </c>
      <c r="B394" s="28">
        <v>1016</v>
      </c>
      <c r="C394" s="28">
        <v>179</v>
      </c>
      <c r="D394" s="28">
        <v>179</v>
      </c>
      <c r="E394" s="111">
        <f t="shared" si="12"/>
        <v>-82.38188976377953</v>
      </c>
      <c r="F394" s="108">
        <f t="shared" si="13"/>
        <v>100</v>
      </c>
      <c r="G394" s="25">
        <v>179</v>
      </c>
    </row>
    <row r="395" spans="1:7" ht="20.25" customHeight="1">
      <c r="A395" s="114" t="s">
        <v>323</v>
      </c>
      <c r="B395" s="28">
        <v>2686</v>
      </c>
      <c r="C395" s="28">
        <f>2154+790</f>
        <v>2944</v>
      </c>
      <c r="D395" s="28">
        <v>3111</v>
      </c>
      <c r="E395" s="111">
        <f t="shared" si="12"/>
        <v>15.822784810126583</v>
      </c>
      <c r="F395" s="108">
        <f t="shared" si="13"/>
        <v>105.6725543478261</v>
      </c>
      <c r="G395" s="25">
        <v>790</v>
      </c>
    </row>
    <row r="396" spans="1:6" ht="20.25" customHeight="1">
      <c r="A396" s="27" t="s">
        <v>324</v>
      </c>
      <c r="B396" s="28">
        <v>2</v>
      </c>
      <c r="C396" s="28">
        <v>3</v>
      </c>
      <c r="D396" s="28">
        <v>17</v>
      </c>
      <c r="E396" s="111">
        <f t="shared" si="12"/>
        <v>750</v>
      </c>
      <c r="F396" s="108">
        <f t="shared" si="13"/>
        <v>566.6666666666667</v>
      </c>
    </row>
    <row r="397" spans="1:7" ht="20.25" customHeight="1">
      <c r="A397" s="114" t="s">
        <v>325</v>
      </c>
      <c r="B397" s="28">
        <v>568</v>
      </c>
      <c r="C397" s="28">
        <f>16+400</f>
        <v>416</v>
      </c>
      <c r="D397" s="28">
        <v>412</v>
      </c>
      <c r="E397" s="111">
        <f t="shared" si="12"/>
        <v>-27.464788732394368</v>
      </c>
      <c r="F397" s="108">
        <f t="shared" si="13"/>
        <v>99.03846153846155</v>
      </c>
      <c r="G397" s="25">
        <v>400</v>
      </c>
    </row>
    <row r="398" spans="1:7" ht="20.25" customHeight="1">
      <c r="A398" s="114" t="s">
        <v>326</v>
      </c>
      <c r="B398" s="28">
        <v>120</v>
      </c>
      <c r="C398" s="28">
        <f>52+462</f>
        <v>514</v>
      </c>
      <c r="D398" s="28">
        <v>512</v>
      </c>
      <c r="E398" s="111">
        <f t="shared" si="12"/>
        <v>326.6666666666667</v>
      </c>
      <c r="F398" s="108">
        <f t="shared" si="13"/>
        <v>99.61089494163424</v>
      </c>
      <c r="G398" s="25">
        <v>462</v>
      </c>
    </row>
    <row r="399" spans="1:7" ht="20.25" customHeight="1">
      <c r="A399" s="27" t="s">
        <v>327</v>
      </c>
      <c r="B399" s="28">
        <v>577</v>
      </c>
      <c r="C399" s="28">
        <f>206+2896</f>
        <v>3102</v>
      </c>
      <c r="D399" s="28">
        <v>2946</v>
      </c>
      <c r="E399" s="111">
        <f t="shared" si="12"/>
        <v>410.5719237435009</v>
      </c>
      <c r="F399" s="108">
        <f t="shared" si="13"/>
        <v>94.97098646034816</v>
      </c>
      <c r="G399" s="25">
        <v>2896</v>
      </c>
    </row>
    <row r="400" spans="1:6" ht="20.25" customHeight="1">
      <c r="A400" s="27" t="s">
        <v>328</v>
      </c>
      <c r="B400" s="28"/>
      <c r="C400" s="28"/>
      <c r="D400" s="28">
        <v>26</v>
      </c>
      <c r="E400" s="111"/>
      <c r="F400" s="108"/>
    </row>
    <row r="401" spans="1:7" ht="20.25" customHeight="1">
      <c r="A401" s="114" t="s">
        <v>329</v>
      </c>
      <c r="B401" s="28">
        <v>1402</v>
      </c>
      <c r="C401" s="28">
        <v>1192</v>
      </c>
      <c r="D401" s="28">
        <v>1192</v>
      </c>
      <c r="E401" s="111">
        <f t="shared" si="12"/>
        <v>-14.978601997146935</v>
      </c>
      <c r="F401" s="108">
        <f t="shared" si="13"/>
        <v>100</v>
      </c>
      <c r="G401" s="25">
        <v>1192</v>
      </c>
    </row>
    <row r="402" spans="1:6" ht="20.25" customHeight="1">
      <c r="A402" s="114" t="s">
        <v>330</v>
      </c>
      <c r="B402" s="28">
        <v>68</v>
      </c>
      <c r="C402" s="28">
        <v>60</v>
      </c>
      <c r="D402" s="28">
        <v>65</v>
      </c>
      <c r="E402" s="111">
        <f t="shared" si="12"/>
        <v>-4.411764705882353</v>
      </c>
      <c r="F402" s="108">
        <f t="shared" si="13"/>
        <v>108.33333333333333</v>
      </c>
    </row>
    <row r="403" spans="1:6" ht="20.25" customHeight="1">
      <c r="A403" s="114" t="s">
        <v>331</v>
      </c>
      <c r="B403" s="28">
        <v>987</v>
      </c>
      <c r="C403" s="28"/>
      <c r="D403" s="28"/>
      <c r="E403" s="111">
        <f t="shared" si="12"/>
        <v>-100</v>
      </c>
      <c r="F403" s="108"/>
    </row>
    <row r="404" spans="1:6" ht="20.25" customHeight="1">
      <c r="A404" s="27" t="s">
        <v>332</v>
      </c>
      <c r="B404" s="28"/>
      <c r="C404" s="28"/>
      <c r="D404" s="28"/>
      <c r="E404" s="111"/>
      <c r="F404" s="108"/>
    </row>
    <row r="405" spans="1:7" ht="20.25" customHeight="1">
      <c r="A405" s="114" t="s">
        <v>333</v>
      </c>
      <c r="B405" s="28">
        <v>781</v>
      </c>
      <c r="C405" s="28">
        <v>370</v>
      </c>
      <c r="D405" s="28">
        <v>480</v>
      </c>
      <c r="E405" s="111">
        <f t="shared" si="12"/>
        <v>-38.54033290653009</v>
      </c>
      <c r="F405" s="108">
        <f t="shared" si="13"/>
        <v>129.72972972972974</v>
      </c>
      <c r="G405" s="25">
        <v>370</v>
      </c>
    </row>
    <row r="406" spans="1:6" ht="20.25" customHeight="1">
      <c r="A406" s="114" t="s">
        <v>334</v>
      </c>
      <c r="B406" s="28">
        <v>10</v>
      </c>
      <c r="C406" s="28">
        <v>19</v>
      </c>
      <c r="D406" s="28">
        <v>21</v>
      </c>
      <c r="E406" s="111">
        <f t="shared" si="12"/>
        <v>110.00000000000001</v>
      </c>
      <c r="F406" s="108">
        <f t="shared" si="13"/>
        <v>110.5263157894737</v>
      </c>
    </row>
    <row r="407" spans="1:6" ht="20.25" customHeight="1">
      <c r="A407" s="114" t="s">
        <v>335</v>
      </c>
      <c r="B407" s="112">
        <f>SUM(B408:B412)</f>
        <v>3881</v>
      </c>
      <c r="C407" s="112">
        <f>SUM(C408:C412)</f>
        <v>3409</v>
      </c>
      <c r="D407" s="112">
        <f>SUM(D408:D412)</f>
        <v>3467</v>
      </c>
      <c r="E407" s="111">
        <f aca="true" t="shared" si="14" ref="E407:E471">(D407-B407)/B407*100</f>
        <v>-10.66735377480031</v>
      </c>
      <c r="F407" s="108">
        <f t="shared" si="13"/>
        <v>101.7013787034321</v>
      </c>
    </row>
    <row r="408" spans="1:6" ht="20.25" customHeight="1">
      <c r="A408" s="114" t="s">
        <v>35</v>
      </c>
      <c r="B408" s="28">
        <v>35</v>
      </c>
      <c r="C408" s="28">
        <v>35</v>
      </c>
      <c r="D408" s="28">
        <v>35</v>
      </c>
      <c r="E408" s="111">
        <f t="shared" si="14"/>
        <v>0</v>
      </c>
      <c r="F408" s="108">
        <f t="shared" si="13"/>
        <v>100</v>
      </c>
    </row>
    <row r="409" spans="1:6" ht="20.25" customHeight="1">
      <c r="A409" s="27" t="s">
        <v>36</v>
      </c>
      <c r="B409" s="28"/>
      <c r="C409" s="28"/>
      <c r="D409" s="28"/>
      <c r="E409" s="111"/>
      <c r="F409" s="108"/>
    </row>
    <row r="410" spans="1:6" ht="20.25" customHeight="1">
      <c r="A410" s="59" t="s">
        <v>336</v>
      </c>
      <c r="B410" s="28">
        <v>1886</v>
      </c>
      <c r="C410" s="28"/>
      <c r="D410" s="28">
        <v>57</v>
      </c>
      <c r="E410" s="111">
        <f t="shared" si="14"/>
        <v>-96.97773064687169</v>
      </c>
      <c r="F410" s="108"/>
    </row>
    <row r="411" spans="1:7" ht="20.25" customHeight="1">
      <c r="A411" s="59" t="s">
        <v>337</v>
      </c>
      <c r="B411" s="28">
        <v>832</v>
      </c>
      <c r="C411" s="28">
        <v>25</v>
      </c>
      <c r="D411" s="28">
        <v>26</v>
      </c>
      <c r="E411" s="111">
        <f t="shared" si="14"/>
        <v>-96.875</v>
      </c>
      <c r="F411" s="108">
        <f t="shared" si="13"/>
        <v>104</v>
      </c>
      <c r="G411" s="25">
        <v>25</v>
      </c>
    </row>
    <row r="412" spans="1:7" ht="20.25" customHeight="1">
      <c r="A412" s="60" t="s">
        <v>338</v>
      </c>
      <c r="B412" s="28">
        <v>1128</v>
      </c>
      <c r="C412" s="28">
        <v>3349</v>
      </c>
      <c r="D412" s="28">
        <v>3349</v>
      </c>
      <c r="E412" s="111">
        <f t="shared" si="14"/>
        <v>196.89716312056737</v>
      </c>
      <c r="F412" s="108">
        <f t="shared" si="13"/>
        <v>100</v>
      </c>
      <c r="G412" s="25">
        <v>3349</v>
      </c>
    </row>
    <row r="413" spans="1:6" ht="20.25" customHeight="1">
      <c r="A413" s="114" t="s">
        <v>339</v>
      </c>
      <c r="B413" s="112">
        <f>SUM(B414:B417)</f>
        <v>6048</v>
      </c>
      <c r="C413" s="112">
        <f>SUM(C414:C417)</f>
        <v>2688</v>
      </c>
      <c r="D413" s="112">
        <f>SUM(D414:D417)</f>
        <v>3887</v>
      </c>
      <c r="E413" s="111">
        <f t="shared" si="14"/>
        <v>-35.73082010582011</v>
      </c>
      <c r="F413" s="108">
        <f t="shared" si="13"/>
        <v>144.60565476190476</v>
      </c>
    </row>
    <row r="414" spans="1:6" ht="20.25" customHeight="1">
      <c r="A414" s="27" t="s">
        <v>136</v>
      </c>
      <c r="B414" s="112">
        <v>10</v>
      </c>
      <c r="C414" s="112"/>
      <c r="D414" s="112">
        <v>10</v>
      </c>
      <c r="E414" s="111">
        <f t="shared" si="14"/>
        <v>0</v>
      </c>
      <c r="F414" s="108"/>
    </row>
    <row r="415" spans="1:7" ht="20.25" customHeight="1">
      <c r="A415" s="60" t="s">
        <v>340</v>
      </c>
      <c r="B415" s="28">
        <v>5383</v>
      </c>
      <c r="C415" s="28">
        <v>1484</v>
      </c>
      <c r="D415" s="28">
        <v>2684</v>
      </c>
      <c r="E415" s="111">
        <f t="shared" si="14"/>
        <v>-50.13932751253948</v>
      </c>
      <c r="F415" s="108">
        <f t="shared" si="13"/>
        <v>180.8625336927224</v>
      </c>
      <c r="G415" s="25">
        <v>1484</v>
      </c>
    </row>
    <row r="416" spans="1:7" ht="20.25" customHeight="1">
      <c r="A416" s="60" t="s">
        <v>341</v>
      </c>
      <c r="B416" s="28">
        <v>655</v>
      </c>
      <c r="C416" s="28">
        <v>1194</v>
      </c>
      <c r="D416" s="28">
        <v>1193</v>
      </c>
      <c r="E416" s="111">
        <f t="shared" si="14"/>
        <v>82.13740458015268</v>
      </c>
      <c r="F416" s="108">
        <f t="shared" si="13"/>
        <v>99.91624790619765</v>
      </c>
      <c r="G416" s="25">
        <v>1194</v>
      </c>
    </row>
    <row r="417" spans="1:6" ht="20.25" customHeight="1">
      <c r="A417" s="171" t="s">
        <v>610</v>
      </c>
      <c r="B417" s="28"/>
      <c r="C417" s="28">
        <v>10</v>
      </c>
      <c r="D417" s="28"/>
      <c r="E417" s="111"/>
      <c r="F417" s="108">
        <f t="shared" si="13"/>
        <v>0</v>
      </c>
    </row>
    <row r="418" spans="1:6" ht="20.25" customHeight="1">
      <c r="A418" s="114" t="s">
        <v>342</v>
      </c>
      <c r="B418" s="112">
        <f>SUM(B419:B424)</f>
        <v>8192</v>
      </c>
      <c r="C418" s="112">
        <f>SUM(C419:C424)</f>
        <v>7136</v>
      </c>
      <c r="D418" s="112">
        <f>SUM(D419:D424)</f>
        <v>7005</v>
      </c>
      <c r="E418" s="111">
        <f t="shared" si="14"/>
        <v>-14.48974609375</v>
      </c>
      <c r="F418" s="108">
        <f t="shared" si="13"/>
        <v>98.16423766816143</v>
      </c>
    </row>
    <row r="419" spans="1:7" ht="20.25" customHeight="1">
      <c r="A419" s="114" t="s">
        <v>343</v>
      </c>
      <c r="B419" s="28">
        <v>5859</v>
      </c>
      <c r="C419" s="28">
        <f>725+3756</f>
        <v>4481</v>
      </c>
      <c r="D419" s="28">
        <v>4191</v>
      </c>
      <c r="E419" s="111">
        <f t="shared" si="14"/>
        <v>-28.469022017409113</v>
      </c>
      <c r="F419" s="108">
        <f t="shared" si="13"/>
        <v>93.52823030573532</v>
      </c>
      <c r="G419" s="25">
        <v>3756</v>
      </c>
    </row>
    <row r="420" spans="1:6" ht="20.25" customHeight="1">
      <c r="A420" s="60" t="s">
        <v>344</v>
      </c>
      <c r="B420" s="28"/>
      <c r="C420" s="28"/>
      <c r="D420" s="28"/>
      <c r="E420" s="111"/>
      <c r="F420" s="108"/>
    </row>
    <row r="421" spans="1:6" ht="20.25" customHeight="1">
      <c r="A421" s="114" t="s">
        <v>345</v>
      </c>
      <c r="B421" s="28">
        <v>987</v>
      </c>
      <c r="C421" s="28">
        <v>919</v>
      </c>
      <c r="D421" s="28">
        <v>966</v>
      </c>
      <c r="E421" s="111">
        <f t="shared" si="14"/>
        <v>-2.127659574468085</v>
      </c>
      <c r="F421" s="108">
        <f t="shared" si="13"/>
        <v>105.11425462459194</v>
      </c>
    </row>
    <row r="422" spans="1:6" ht="20.25" customHeight="1">
      <c r="A422" s="27" t="s">
        <v>346</v>
      </c>
      <c r="B422" s="28">
        <v>6</v>
      </c>
      <c r="C422" s="28"/>
      <c r="D422" s="28"/>
      <c r="E422" s="111">
        <f t="shared" si="14"/>
        <v>-100</v>
      </c>
      <c r="F422" s="108"/>
    </row>
    <row r="423" spans="1:7" ht="20.25" customHeight="1">
      <c r="A423" s="60" t="s">
        <v>347</v>
      </c>
      <c r="B423" s="28">
        <v>582</v>
      </c>
      <c r="C423" s="28">
        <v>582</v>
      </c>
      <c r="D423" s="28">
        <v>694</v>
      </c>
      <c r="E423" s="111">
        <f t="shared" si="14"/>
        <v>19.243986254295535</v>
      </c>
      <c r="F423" s="108">
        <f t="shared" si="13"/>
        <v>119.24398625429554</v>
      </c>
      <c r="G423" s="25">
        <v>582</v>
      </c>
    </row>
    <row r="424" spans="1:7" ht="20.25" customHeight="1">
      <c r="A424" s="27" t="s">
        <v>348</v>
      </c>
      <c r="B424" s="28">
        <v>758</v>
      </c>
      <c r="C424" s="28">
        <v>1154</v>
      </c>
      <c r="D424" s="28">
        <v>1154</v>
      </c>
      <c r="E424" s="111">
        <f t="shared" si="14"/>
        <v>52.242744063324544</v>
      </c>
      <c r="F424" s="108">
        <f t="shared" si="13"/>
        <v>100</v>
      </c>
      <c r="G424" s="25">
        <v>1154</v>
      </c>
    </row>
    <row r="425" spans="1:6" ht="20.25" customHeight="1">
      <c r="A425" s="117" t="s">
        <v>349</v>
      </c>
      <c r="B425" s="112">
        <f>SUM(B426:B431)</f>
        <v>2047</v>
      </c>
      <c r="C425" s="112">
        <f>SUM(C426:C431)</f>
        <v>707</v>
      </c>
      <c r="D425" s="112">
        <f>SUM(D426:D431)</f>
        <v>708</v>
      </c>
      <c r="E425" s="111">
        <f t="shared" si="14"/>
        <v>-65.41279921836835</v>
      </c>
      <c r="F425" s="108">
        <f t="shared" si="13"/>
        <v>100.14144271570014</v>
      </c>
    </row>
    <row r="426" spans="1:6" ht="20.25" customHeight="1">
      <c r="A426" s="27" t="s">
        <v>350</v>
      </c>
      <c r="B426" s="28">
        <v>850</v>
      </c>
      <c r="C426" s="28"/>
      <c r="D426" s="28"/>
      <c r="E426" s="111">
        <f t="shared" si="14"/>
        <v>-100</v>
      </c>
      <c r="F426" s="108"/>
    </row>
    <row r="427" spans="1:7" ht="20.25" customHeight="1">
      <c r="A427" s="27" t="s">
        <v>351</v>
      </c>
      <c r="B427" s="28">
        <v>21</v>
      </c>
      <c r="C427" s="28">
        <v>6</v>
      </c>
      <c r="D427" s="28">
        <v>13</v>
      </c>
      <c r="E427" s="111">
        <f t="shared" si="14"/>
        <v>-38.095238095238095</v>
      </c>
      <c r="F427" s="108">
        <f t="shared" si="13"/>
        <v>216.66666666666666</v>
      </c>
      <c r="G427" s="25">
        <v>6</v>
      </c>
    </row>
    <row r="428" spans="1:6" ht="20.25" customHeight="1">
      <c r="A428" s="27" t="s">
        <v>352</v>
      </c>
      <c r="B428" s="28">
        <v>61</v>
      </c>
      <c r="C428" s="28"/>
      <c r="D428" s="28"/>
      <c r="E428" s="111">
        <f t="shared" si="14"/>
        <v>-100</v>
      </c>
      <c r="F428" s="108"/>
    </row>
    <row r="429" spans="1:7" ht="20.25" customHeight="1">
      <c r="A429" s="27" t="s">
        <v>606</v>
      </c>
      <c r="B429" s="28">
        <v>959</v>
      </c>
      <c r="C429" s="28">
        <f>22+579</f>
        <v>601</v>
      </c>
      <c r="D429" s="28">
        <v>595</v>
      </c>
      <c r="E429" s="111">
        <f t="shared" si="14"/>
        <v>-37.95620437956204</v>
      </c>
      <c r="F429" s="108">
        <f t="shared" si="13"/>
        <v>99.00166389351082</v>
      </c>
      <c r="G429" s="25">
        <v>579</v>
      </c>
    </row>
    <row r="430" spans="1:6" ht="20.25" customHeight="1">
      <c r="A430" s="27" t="s">
        <v>353</v>
      </c>
      <c r="B430" s="28">
        <v>156</v>
      </c>
      <c r="C430" s="28"/>
      <c r="D430" s="28"/>
      <c r="E430" s="111">
        <f t="shared" si="14"/>
        <v>-100</v>
      </c>
      <c r="F430" s="108"/>
    </row>
    <row r="431" spans="1:7" ht="20.25" customHeight="1">
      <c r="A431" s="27" t="s">
        <v>354</v>
      </c>
      <c r="B431" s="28"/>
      <c r="C431" s="28">
        <v>100</v>
      </c>
      <c r="D431" s="28">
        <v>100</v>
      </c>
      <c r="E431" s="111"/>
      <c r="F431" s="108">
        <f t="shared" si="13"/>
        <v>100</v>
      </c>
      <c r="G431" s="25">
        <v>100</v>
      </c>
    </row>
    <row r="432" spans="1:6" ht="20.25" customHeight="1">
      <c r="A432" s="27" t="s">
        <v>355</v>
      </c>
      <c r="B432" s="28">
        <f>B433</f>
        <v>358</v>
      </c>
      <c r="C432" s="28">
        <f>C433</f>
        <v>0</v>
      </c>
      <c r="D432" s="28">
        <f>D433</f>
        <v>775</v>
      </c>
      <c r="E432" s="111">
        <f t="shared" si="14"/>
        <v>116.48044692737429</v>
      </c>
      <c r="F432" s="108"/>
    </row>
    <row r="433" spans="1:6" ht="20.25" customHeight="1">
      <c r="A433" s="27" t="s">
        <v>356</v>
      </c>
      <c r="B433" s="28">
        <v>358</v>
      </c>
      <c r="C433" s="28"/>
      <c r="D433" s="28">
        <v>775</v>
      </c>
      <c r="E433" s="111">
        <f t="shared" si="14"/>
        <v>116.48044692737429</v>
      </c>
      <c r="F433" s="108"/>
    </row>
    <row r="434" spans="1:6" ht="20.25" customHeight="1">
      <c r="A434" s="114" t="s">
        <v>357</v>
      </c>
      <c r="B434" s="28">
        <f>B435</f>
        <v>5716</v>
      </c>
      <c r="C434" s="28">
        <f>C435</f>
        <v>35</v>
      </c>
      <c r="D434" s="28">
        <f>D435</f>
        <v>12</v>
      </c>
      <c r="E434" s="111">
        <f t="shared" si="14"/>
        <v>-99.79006298110566</v>
      </c>
      <c r="F434" s="108">
        <f t="shared" si="13"/>
        <v>34.285714285714285</v>
      </c>
    </row>
    <row r="435" spans="1:7" ht="20.25" customHeight="1">
      <c r="A435" s="114" t="s">
        <v>358</v>
      </c>
      <c r="B435" s="28">
        <v>5716</v>
      </c>
      <c r="C435" s="28">
        <f>23+12</f>
        <v>35</v>
      </c>
      <c r="D435" s="28">
        <v>12</v>
      </c>
      <c r="E435" s="111">
        <f t="shared" si="14"/>
        <v>-99.79006298110566</v>
      </c>
      <c r="F435" s="108">
        <f t="shared" si="13"/>
        <v>34.285714285714285</v>
      </c>
      <c r="G435" s="25">
        <v>12</v>
      </c>
    </row>
    <row r="436" spans="1:6" ht="20.25" customHeight="1">
      <c r="A436" s="114" t="s">
        <v>359</v>
      </c>
      <c r="B436" s="112">
        <f>B437+B445+B447</f>
        <v>8458</v>
      </c>
      <c r="C436" s="112">
        <f>C437+C445+C447</f>
        <v>8980</v>
      </c>
      <c r="D436" s="112">
        <f>D437+D445+D447</f>
        <v>9257</v>
      </c>
      <c r="E436" s="111">
        <f t="shared" si="14"/>
        <v>9.4466777015843</v>
      </c>
      <c r="F436" s="108">
        <f t="shared" si="13"/>
        <v>103.08463251670379</v>
      </c>
    </row>
    <row r="437" spans="1:6" ht="20.25" customHeight="1">
      <c r="A437" s="114" t="s">
        <v>360</v>
      </c>
      <c r="B437" s="112">
        <f>SUM(B438:B444)</f>
        <v>5758</v>
      </c>
      <c r="C437" s="112">
        <f>SUM(C438:C444)</f>
        <v>5434</v>
      </c>
      <c r="D437" s="112">
        <f>SUM(D438:D444)</f>
        <v>5711</v>
      </c>
      <c r="E437" s="111">
        <f t="shared" si="14"/>
        <v>-0.8162556443209448</v>
      </c>
      <c r="F437" s="108">
        <f t="shared" si="13"/>
        <v>105.09753404490247</v>
      </c>
    </row>
    <row r="438" spans="1:6" ht="20.25" customHeight="1">
      <c r="A438" s="114" t="s">
        <v>35</v>
      </c>
      <c r="B438" s="28">
        <v>80</v>
      </c>
      <c r="C438" s="28">
        <v>75</v>
      </c>
      <c r="D438" s="28">
        <v>87</v>
      </c>
      <c r="E438" s="111">
        <f t="shared" si="14"/>
        <v>8.75</v>
      </c>
      <c r="F438" s="108">
        <f t="shared" si="13"/>
        <v>115.99999999999999</v>
      </c>
    </row>
    <row r="439" spans="1:6" ht="20.25" customHeight="1">
      <c r="A439" s="27" t="s">
        <v>36</v>
      </c>
      <c r="B439" s="28"/>
      <c r="C439" s="28"/>
      <c r="D439" s="28"/>
      <c r="E439" s="111"/>
      <c r="F439" s="108"/>
    </row>
    <row r="440" spans="1:6" ht="20.25" customHeight="1">
      <c r="A440" s="27" t="s">
        <v>607</v>
      </c>
      <c r="B440" s="28"/>
      <c r="C440" s="28">
        <v>100</v>
      </c>
      <c r="D440" s="28">
        <v>100</v>
      </c>
      <c r="E440" s="111"/>
      <c r="F440" s="108">
        <f t="shared" si="13"/>
        <v>100</v>
      </c>
    </row>
    <row r="441" spans="1:6" ht="20.25" customHeight="1">
      <c r="A441" s="27" t="s">
        <v>361</v>
      </c>
      <c r="B441" s="28">
        <v>572</v>
      </c>
      <c r="C441" s="28"/>
      <c r="D441" s="28">
        <v>252</v>
      </c>
      <c r="E441" s="111">
        <f t="shared" si="14"/>
        <v>-55.94405594405595</v>
      </c>
      <c r="F441" s="108"/>
    </row>
    <row r="442" spans="1:6" ht="20.25" customHeight="1">
      <c r="A442" s="27" t="s">
        <v>362</v>
      </c>
      <c r="B442" s="28">
        <v>1</v>
      </c>
      <c r="C442" s="28"/>
      <c r="D442" s="28"/>
      <c r="E442" s="111">
        <f t="shared" si="14"/>
        <v>-100</v>
      </c>
      <c r="F442" s="108"/>
    </row>
    <row r="443" spans="1:6" ht="20.25" customHeight="1">
      <c r="A443" s="27" t="s">
        <v>363</v>
      </c>
      <c r="B443" s="28"/>
      <c r="C443" s="28"/>
      <c r="D443" s="28"/>
      <c r="E443" s="111"/>
      <c r="F443" s="108"/>
    </row>
    <row r="444" spans="1:7" ht="20.25" customHeight="1">
      <c r="A444" s="114" t="s">
        <v>364</v>
      </c>
      <c r="B444" s="28">
        <v>5105</v>
      </c>
      <c r="C444" s="28">
        <f>97+5162</f>
        <v>5259</v>
      </c>
      <c r="D444" s="28">
        <v>5272</v>
      </c>
      <c r="E444" s="111">
        <f t="shared" si="14"/>
        <v>3.2713026444662097</v>
      </c>
      <c r="F444" s="108">
        <f t="shared" si="13"/>
        <v>100.24719528427457</v>
      </c>
      <c r="G444" s="25">
        <v>5162</v>
      </c>
    </row>
    <row r="445" spans="1:6" ht="20.25" customHeight="1">
      <c r="A445" s="27" t="s">
        <v>365</v>
      </c>
      <c r="B445" s="28">
        <f>B446</f>
        <v>837</v>
      </c>
      <c r="C445" s="28">
        <f>C446</f>
        <v>3546</v>
      </c>
      <c r="D445" s="28">
        <f>D446</f>
        <v>3546</v>
      </c>
      <c r="E445" s="111">
        <f t="shared" si="14"/>
        <v>323.6559139784946</v>
      </c>
      <c r="F445" s="108">
        <f t="shared" si="13"/>
        <v>100</v>
      </c>
    </row>
    <row r="446" spans="1:7" ht="20.25" customHeight="1">
      <c r="A446" s="27" t="s">
        <v>366</v>
      </c>
      <c r="B446" s="28">
        <v>837</v>
      </c>
      <c r="C446" s="28">
        <v>3546</v>
      </c>
      <c r="D446" s="28">
        <v>3546</v>
      </c>
      <c r="E446" s="111">
        <f t="shared" si="14"/>
        <v>323.6559139784946</v>
      </c>
      <c r="F446" s="108">
        <f t="shared" si="13"/>
        <v>100</v>
      </c>
      <c r="G446" s="25">
        <v>3546</v>
      </c>
    </row>
    <row r="447" spans="1:6" ht="20.25" customHeight="1">
      <c r="A447" s="27" t="s">
        <v>367</v>
      </c>
      <c r="B447" s="28">
        <f>B448</f>
        <v>1863</v>
      </c>
      <c r="C447" s="28">
        <f>C448</f>
        <v>0</v>
      </c>
      <c r="D447" s="28">
        <f>D448</f>
        <v>0</v>
      </c>
      <c r="E447" s="111">
        <f t="shared" si="14"/>
        <v>-100</v>
      </c>
      <c r="F447" s="108"/>
    </row>
    <row r="448" spans="1:6" ht="20.25" customHeight="1">
      <c r="A448" s="27" t="s">
        <v>368</v>
      </c>
      <c r="B448" s="28">
        <v>1863</v>
      </c>
      <c r="C448" s="28"/>
      <c r="D448" s="28"/>
      <c r="E448" s="111">
        <f t="shared" si="14"/>
        <v>-100</v>
      </c>
      <c r="F448" s="108"/>
    </row>
    <row r="449" spans="1:6" ht="20.25" customHeight="1">
      <c r="A449" s="114" t="s">
        <v>369</v>
      </c>
      <c r="B449" s="112">
        <f>B450+B452+B454+B458+B461+B464</f>
        <v>1207</v>
      </c>
      <c r="C449" s="112">
        <f>C450+C452+C454+C458+C461+C464</f>
        <v>917</v>
      </c>
      <c r="D449" s="112">
        <f>D450+D452+D454+D458+D461+D464</f>
        <v>1534</v>
      </c>
      <c r="E449" s="111">
        <f t="shared" si="14"/>
        <v>27.091963545981773</v>
      </c>
      <c r="F449" s="108">
        <f t="shared" si="13"/>
        <v>167.2846237731734</v>
      </c>
    </row>
    <row r="450" spans="1:6" ht="20.25" customHeight="1">
      <c r="A450" s="27" t="s">
        <v>370</v>
      </c>
      <c r="B450" s="112">
        <f>B451</f>
        <v>0</v>
      </c>
      <c r="C450" s="112"/>
      <c r="D450" s="112">
        <f>D451</f>
        <v>0</v>
      </c>
      <c r="E450" s="111"/>
      <c r="F450" s="108"/>
    </row>
    <row r="451" spans="1:6" ht="20.25" customHeight="1">
      <c r="A451" s="27" t="s">
        <v>371</v>
      </c>
      <c r="B451" s="112"/>
      <c r="C451" s="112"/>
      <c r="D451" s="112"/>
      <c r="E451" s="111"/>
      <c r="F451" s="108"/>
    </row>
    <row r="452" spans="1:6" ht="20.25" customHeight="1">
      <c r="A452" s="114" t="s">
        <v>372</v>
      </c>
      <c r="B452" s="112">
        <f>B453</f>
        <v>581</v>
      </c>
      <c r="C452" s="112">
        <f>C453</f>
        <v>533</v>
      </c>
      <c r="D452" s="112">
        <f>D453</f>
        <v>282</v>
      </c>
      <c r="E452" s="111">
        <f t="shared" si="14"/>
        <v>-51.46299483648882</v>
      </c>
      <c r="F452" s="108">
        <f t="shared" si="13"/>
        <v>52.908067542213885</v>
      </c>
    </row>
    <row r="453" spans="1:6" ht="20.25" customHeight="1">
      <c r="A453" s="114" t="s">
        <v>373</v>
      </c>
      <c r="B453" s="28">
        <v>581</v>
      </c>
      <c r="C453" s="28">
        <v>533</v>
      </c>
      <c r="D453" s="28">
        <v>282</v>
      </c>
      <c r="E453" s="111">
        <f t="shared" si="14"/>
        <v>-51.46299483648882</v>
      </c>
      <c r="F453" s="108">
        <f t="shared" si="13"/>
        <v>52.908067542213885</v>
      </c>
    </row>
    <row r="454" spans="1:6" ht="20.25" customHeight="1">
      <c r="A454" s="114" t="s">
        <v>374</v>
      </c>
      <c r="B454" s="112">
        <f>SUM(B455:B457)</f>
        <v>300</v>
      </c>
      <c r="C454" s="112">
        <f>SUM(C455:C457)</f>
        <v>173</v>
      </c>
      <c r="D454" s="112">
        <f>SUM(D455:D457)</f>
        <v>285</v>
      </c>
      <c r="E454" s="111">
        <f t="shared" si="14"/>
        <v>-5</v>
      </c>
      <c r="F454" s="108">
        <f aca="true" t="shared" si="15" ref="F454:F517">D454/C454*100</f>
        <v>164.73988439306356</v>
      </c>
    </row>
    <row r="455" spans="1:6" ht="20.25" customHeight="1">
      <c r="A455" s="114" t="s">
        <v>35</v>
      </c>
      <c r="B455" s="28">
        <v>63</v>
      </c>
      <c r="C455" s="28">
        <v>49</v>
      </c>
      <c r="D455" s="28">
        <v>56</v>
      </c>
      <c r="E455" s="111">
        <f t="shared" si="14"/>
        <v>-11.11111111111111</v>
      </c>
      <c r="F455" s="108">
        <f t="shared" si="15"/>
        <v>114.28571428571428</v>
      </c>
    </row>
    <row r="456" spans="1:6" ht="20.25" customHeight="1">
      <c r="A456" s="114" t="s">
        <v>375</v>
      </c>
      <c r="B456" s="28">
        <v>92</v>
      </c>
      <c r="C456" s="28">
        <v>83</v>
      </c>
      <c r="D456" s="28">
        <v>92</v>
      </c>
      <c r="E456" s="111">
        <f t="shared" si="14"/>
        <v>0</v>
      </c>
      <c r="F456" s="108">
        <f t="shared" si="15"/>
        <v>110.8433734939759</v>
      </c>
    </row>
    <row r="457" spans="1:6" ht="20.25" customHeight="1">
      <c r="A457" s="114" t="s">
        <v>376</v>
      </c>
      <c r="B457" s="28">
        <v>145</v>
      </c>
      <c r="C457" s="28">
        <v>41</v>
      </c>
      <c r="D457" s="28">
        <v>137</v>
      </c>
      <c r="E457" s="111">
        <f t="shared" si="14"/>
        <v>-5.517241379310345</v>
      </c>
      <c r="F457" s="108">
        <f t="shared" si="15"/>
        <v>334.1463414634146</v>
      </c>
    </row>
    <row r="458" spans="1:6" ht="20.25" customHeight="1">
      <c r="A458" s="114" t="s">
        <v>377</v>
      </c>
      <c r="B458" s="112">
        <f>SUM(B459:B460)</f>
        <v>103</v>
      </c>
      <c r="C458" s="112">
        <f>SUM(C459:C460)</f>
        <v>211</v>
      </c>
      <c r="D458" s="112">
        <f>SUM(D459:D460)</f>
        <v>797</v>
      </c>
      <c r="E458" s="111">
        <f t="shared" si="14"/>
        <v>673.7864077669902</v>
      </c>
      <c r="F458" s="108">
        <f t="shared" si="15"/>
        <v>377.7251184834123</v>
      </c>
    </row>
    <row r="459" spans="1:6" ht="20.25" customHeight="1">
      <c r="A459" s="114" t="s">
        <v>35</v>
      </c>
      <c r="B459" s="28">
        <v>55</v>
      </c>
      <c r="C459" s="28">
        <v>49</v>
      </c>
      <c r="D459" s="28">
        <v>49</v>
      </c>
      <c r="E459" s="111">
        <f t="shared" si="14"/>
        <v>-10.909090909090908</v>
      </c>
      <c r="F459" s="108">
        <f t="shared" si="15"/>
        <v>100</v>
      </c>
    </row>
    <row r="460" spans="1:6" ht="20.25" customHeight="1">
      <c r="A460" s="114" t="s">
        <v>378</v>
      </c>
      <c r="B460" s="28">
        <v>48</v>
      </c>
      <c r="C460" s="28">
        <v>162</v>
      </c>
      <c r="D460" s="28">
        <v>748</v>
      </c>
      <c r="E460" s="111">
        <f t="shared" si="14"/>
        <v>1458.3333333333335</v>
      </c>
      <c r="F460" s="108">
        <f t="shared" si="15"/>
        <v>461.7283950617284</v>
      </c>
    </row>
    <row r="461" spans="1:6" ht="20.25" customHeight="1">
      <c r="A461" s="27" t="s">
        <v>379</v>
      </c>
      <c r="B461" s="112">
        <f>SUM(B462:B463)</f>
        <v>223</v>
      </c>
      <c r="C461" s="112">
        <f>SUM(C462:C463)</f>
        <v>0</v>
      </c>
      <c r="D461" s="112">
        <f>SUM(D462:D463)</f>
        <v>170</v>
      </c>
      <c r="E461" s="111">
        <f t="shared" si="14"/>
        <v>-23.766816143497756</v>
      </c>
      <c r="F461" s="108"/>
    </row>
    <row r="462" spans="1:6" ht="20.25" customHeight="1">
      <c r="A462" s="27" t="s">
        <v>380</v>
      </c>
      <c r="B462" s="28">
        <v>96</v>
      </c>
      <c r="C462" s="28"/>
      <c r="D462" s="28"/>
      <c r="E462" s="111">
        <f t="shared" si="14"/>
        <v>-100</v>
      </c>
      <c r="F462" s="108"/>
    </row>
    <row r="463" spans="1:6" ht="20.25" customHeight="1">
      <c r="A463" s="27" t="s">
        <v>381</v>
      </c>
      <c r="B463" s="28">
        <v>127</v>
      </c>
      <c r="C463" s="28"/>
      <c r="D463" s="28">
        <v>170</v>
      </c>
      <c r="E463" s="111">
        <f t="shared" si="14"/>
        <v>33.85826771653544</v>
      </c>
      <c r="F463" s="108"/>
    </row>
    <row r="464" spans="1:6" ht="20.25" customHeight="1">
      <c r="A464" s="27" t="s">
        <v>382</v>
      </c>
      <c r="B464" s="112">
        <f>B465</f>
        <v>0</v>
      </c>
      <c r="C464" s="112"/>
      <c r="D464" s="112">
        <f>D465</f>
        <v>0</v>
      </c>
      <c r="E464" s="111"/>
      <c r="F464" s="108"/>
    </row>
    <row r="465" spans="1:6" ht="20.25" customHeight="1">
      <c r="A465" s="27" t="s">
        <v>383</v>
      </c>
      <c r="B465" s="28"/>
      <c r="C465" s="28"/>
      <c r="D465" s="28"/>
      <c r="E465" s="111"/>
      <c r="F465" s="108"/>
    </row>
    <row r="466" spans="1:6" ht="20.25" customHeight="1">
      <c r="A466" s="115" t="s">
        <v>618</v>
      </c>
      <c r="B466" s="112">
        <f>B467+B470+B475</f>
        <v>398</v>
      </c>
      <c r="C466" s="112">
        <f>C467+C470+C475</f>
        <v>650</v>
      </c>
      <c r="D466" s="112">
        <f>D467+D470+D475</f>
        <v>734</v>
      </c>
      <c r="E466" s="111">
        <f t="shared" si="14"/>
        <v>84.42211055276381</v>
      </c>
      <c r="F466" s="108">
        <f t="shared" si="15"/>
        <v>112.92307692307692</v>
      </c>
    </row>
    <row r="467" spans="1:6" ht="20.25" customHeight="1">
      <c r="A467" s="114" t="s">
        <v>384</v>
      </c>
      <c r="B467" s="112">
        <f>SUM(B468:B469)</f>
        <v>142</v>
      </c>
      <c r="C467" s="112">
        <f>SUM(C468:C469)</f>
        <v>119</v>
      </c>
      <c r="D467" s="112">
        <f>SUM(D468:D469)</f>
        <v>119</v>
      </c>
      <c r="E467" s="111">
        <f t="shared" si="14"/>
        <v>-16.19718309859155</v>
      </c>
      <c r="F467" s="108">
        <f t="shared" si="15"/>
        <v>100</v>
      </c>
    </row>
    <row r="468" spans="1:6" ht="20.25" customHeight="1">
      <c r="A468" s="114" t="s">
        <v>35</v>
      </c>
      <c r="B468" s="28">
        <v>111</v>
      </c>
      <c r="C468" s="28">
        <v>102</v>
      </c>
      <c r="D468" s="28">
        <v>102</v>
      </c>
      <c r="E468" s="111">
        <f t="shared" si="14"/>
        <v>-8.108108108108109</v>
      </c>
      <c r="F468" s="108">
        <f t="shared" si="15"/>
        <v>100</v>
      </c>
    </row>
    <row r="469" spans="1:6" ht="20.25" customHeight="1">
      <c r="A469" s="27" t="s">
        <v>385</v>
      </c>
      <c r="B469" s="28">
        <v>31</v>
      </c>
      <c r="C469" s="28">
        <v>17</v>
      </c>
      <c r="D469" s="28">
        <v>17</v>
      </c>
      <c r="E469" s="111">
        <f t="shared" si="14"/>
        <v>-45.16129032258064</v>
      </c>
      <c r="F469" s="108">
        <f t="shared" si="15"/>
        <v>100</v>
      </c>
    </row>
    <row r="470" spans="1:6" ht="20.25" customHeight="1">
      <c r="A470" s="114" t="s">
        <v>386</v>
      </c>
      <c r="B470" s="112">
        <f>SUM(B471:B474)</f>
        <v>256</v>
      </c>
      <c r="C470" s="112">
        <f>SUM(C471:C474)</f>
        <v>531</v>
      </c>
      <c r="D470" s="112">
        <f>SUM(D471:D474)</f>
        <v>615</v>
      </c>
      <c r="E470" s="111">
        <f t="shared" si="14"/>
        <v>140.234375</v>
      </c>
      <c r="F470" s="108">
        <f t="shared" si="15"/>
        <v>115.81920903954803</v>
      </c>
    </row>
    <row r="471" spans="1:6" ht="20.25" customHeight="1">
      <c r="A471" s="114" t="s">
        <v>35</v>
      </c>
      <c r="B471" s="28">
        <v>65</v>
      </c>
      <c r="C471" s="28">
        <v>64</v>
      </c>
      <c r="D471" s="28">
        <v>64</v>
      </c>
      <c r="E471" s="111">
        <f t="shared" si="14"/>
        <v>-1.5384615384615385</v>
      </c>
      <c r="F471" s="108">
        <f t="shared" si="15"/>
        <v>100</v>
      </c>
    </row>
    <row r="472" spans="1:6" ht="20.25" customHeight="1">
      <c r="A472" s="27" t="s">
        <v>36</v>
      </c>
      <c r="B472" s="28"/>
      <c r="C472" s="28"/>
      <c r="D472" s="28"/>
      <c r="E472" s="111"/>
      <c r="F472" s="108"/>
    </row>
    <row r="473" spans="1:7" ht="20.25" customHeight="1">
      <c r="A473" s="114" t="s">
        <v>387</v>
      </c>
      <c r="B473" s="28">
        <v>191</v>
      </c>
      <c r="C473" s="28">
        <f>200+19</f>
        <v>219</v>
      </c>
      <c r="D473" s="28">
        <v>401</v>
      </c>
      <c r="E473" s="111">
        <f aca="true" t="shared" si="16" ref="E473:E521">(D473-B473)/B473*100</f>
        <v>109.94764397905759</v>
      </c>
      <c r="F473" s="108">
        <f t="shared" si="15"/>
        <v>183.10502283105023</v>
      </c>
      <c r="G473" s="25">
        <v>19</v>
      </c>
    </row>
    <row r="474" spans="1:6" ht="20.25" customHeight="1">
      <c r="A474" s="115" t="s">
        <v>608</v>
      </c>
      <c r="B474" s="28"/>
      <c r="C474" s="28">
        <v>248</v>
      </c>
      <c r="D474" s="28">
        <v>150</v>
      </c>
      <c r="E474" s="111"/>
      <c r="F474" s="108">
        <f t="shared" si="15"/>
        <v>60.483870967741936</v>
      </c>
    </row>
    <row r="475" spans="1:6" ht="20.25" customHeight="1">
      <c r="A475" s="27" t="s">
        <v>388</v>
      </c>
      <c r="B475" s="112">
        <f>B476</f>
        <v>0</v>
      </c>
      <c r="C475" s="112">
        <f>C476</f>
        <v>0</v>
      </c>
      <c r="D475" s="112">
        <f>D476</f>
        <v>0</v>
      </c>
      <c r="E475" s="111"/>
      <c r="F475" s="108"/>
    </row>
    <row r="476" spans="1:6" ht="20.25" customHeight="1">
      <c r="A476" s="27" t="s">
        <v>389</v>
      </c>
      <c r="B476" s="28"/>
      <c r="C476" s="28"/>
      <c r="D476" s="28"/>
      <c r="E476" s="111"/>
      <c r="F476" s="108"/>
    </row>
    <row r="477" spans="1:6" ht="28.5" customHeight="1">
      <c r="A477" s="115" t="s">
        <v>619</v>
      </c>
      <c r="B477" s="112">
        <f>B478+B487+B489</f>
        <v>538</v>
      </c>
      <c r="C477" s="112">
        <f>C478+C487+C489</f>
        <v>2995</v>
      </c>
      <c r="D477" s="112">
        <f>D478+D487+D489</f>
        <v>3196</v>
      </c>
      <c r="E477" s="111">
        <f t="shared" si="16"/>
        <v>494.0520446096654</v>
      </c>
      <c r="F477" s="108">
        <f t="shared" si="15"/>
        <v>106.71118530884809</v>
      </c>
    </row>
    <row r="478" spans="1:6" ht="20.25" customHeight="1">
      <c r="A478" s="114" t="s">
        <v>390</v>
      </c>
      <c r="B478" s="112">
        <f>SUM(B479:B486)</f>
        <v>491</v>
      </c>
      <c r="C478" s="112">
        <f>SUM(C479:C486)</f>
        <v>2959</v>
      </c>
      <c r="D478" s="112">
        <f>SUM(D479:D486)</f>
        <v>3146</v>
      </c>
      <c r="E478" s="111">
        <f t="shared" si="16"/>
        <v>540.7331975560081</v>
      </c>
      <c r="F478" s="108">
        <f t="shared" si="15"/>
        <v>106.31970260223049</v>
      </c>
    </row>
    <row r="479" spans="1:6" ht="20.25" customHeight="1">
      <c r="A479" s="114" t="s">
        <v>35</v>
      </c>
      <c r="B479" s="28">
        <v>192</v>
      </c>
      <c r="C479" s="28">
        <v>155</v>
      </c>
      <c r="D479" s="28">
        <v>178</v>
      </c>
      <c r="E479" s="111">
        <f t="shared" si="16"/>
        <v>-7.291666666666667</v>
      </c>
      <c r="F479" s="108">
        <f t="shared" si="15"/>
        <v>114.83870967741936</v>
      </c>
    </row>
    <row r="480" spans="1:6" ht="20.25" customHeight="1">
      <c r="A480" s="114" t="s">
        <v>391</v>
      </c>
      <c r="B480" s="28"/>
      <c r="C480" s="28"/>
      <c r="D480" s="28"/>
      <c r="E480" s="111"/>
      <c r="F480" s="108"/>
    </row>
    <row r="481" spans="1:6" ht="20.25" customHeight="1">
      <c r="A481" s="27" t="s">
        <v>392</v>
      </c>
      <c r="B481" s="28"/>
      <c r="C481" s="28"/>
      <c r="D481" s="28"/>
      <c r="E481" s="111"/>
      <c r="F481" s="108"/>
    </row>
    <row r="482" spans="1:6" ht="20.25" customHeight="1">
      <c r="A482" s="27" t="s">
        <v>393</v>
      </c>
      <c r="B482" s="28"/>
      <c r="C482" s="28"/>
      <c r="D482" s="28"/>
      <c r="E482" s="111"/>
      <c r="F482" s="108"/>
    </row>
    <row r="483" spans="1:7" ht="20.25" customHeight="1">
      <c r="A483" s="27" t="s">
        <v>394</v>
      </c>
      <c r="B483" s="28">
        <v>118</v>
      </c>
      <c r="C483" s="28">
        <v>1025</v>
      </c>
      <c r="D483" s="28">
        <v>1170</v>
      </c>
      <c r="E483" s="111">
        <f t="shared" si="16"/>
        <v>891.5254237288135</v>
      </c>
      <c r="F483" s="108">
        <f t="shared" si="15"/>
        <v>114.14634146341463</v>
      </c>
      <c r="G483" s="25">
        <v>1025</v>
      </c>
    </row>
    <row r="484" spans="1:6" ht="20.25" customHeight="1">
      <c r="A484" s="27" t="s">
        <v>609</v>
      </c>
      <c r="B484" s="28"/>
      <c r="C484" s="28"/>
      <c r="D484" s="28">
        <v>41</v>
      </c>
      <c r="E484" s="111"/>
      <c r="F484" s="108"/>
    </row>
    <row r="485" spans="1:6" ht="20.25" customHeight="1">
      <c r="A485" s="114" t="s">
        <v>46</v>
      </c>
      <c r="B485" s="28">
        <v>67</v>
      </c>
      <c r="C485" s="28">
        <v>60</v>
      </c>
      <c r="D485" s="28">
        <v>71</v>
      </c>
      <c r="E485" s="111">
        <f t="shared" si="16"/>
        <v>5.970149253731343</v>
      </c>
      <c r="F485" s="108">
        <f t="shared" si="15"/>
        <v>118.33333333333333</v>
      </c>
    </row>
    <row r="486" spans="1:7" ht="20.25" customHeight="1">
      <c r="A486" s="114" t="s">
        <v>395</v>
      </c>
      <c r="B486" s="28">
        <v>114</v>
      </c>
      <c r="C486" s="28">
        <f>35+1684</f>
        <v>1719</v>
      </c>
      <c r="D486" s="28">
        <v>1686</v>
      </c>
      <c r="E486" s="111">
        <f t="shared" si="16"/>
        <v>1378.9473684210525</v>
      </c>
      <c r="F486" s="108">
        <f t="shared" si="15"/>
        <v>98.08027923211169</v>
      </c>
      <c r="G486" s="25">
        <v>1684</v>
      </c>
    </row>
    <row r="487" spans="1:6" ht="20.25" customHeight="1">
      <c r="A487" s="27" t="s">
        <v>396</v>
      </c>
      <c r="B487" s="28">
        <f>B488</f>
        <v>0</v>
      </c>
      <c r="C487" s="28">
        <f>C488</f>
        <v>0</v>
      </c>
      <c r="D487" s="28">
        <f>D488</f>
        <v>0</v>
      </c>
      <c r="E487" s="111"/>
      <c r="F487" s="108"/>
    </row>
    <row r="488" spans="1:6" ht="20.25" customHeight="1">
      <c r="A488" s="27" t="s">
        <v>397</v>
      </c>
      <c r="B488" s="28"/>
      <c r="C488" s="28"/>
      <c r="D488" s="28"/>
      <c r="E488" s="111"/>
      <c r="F488" s="108"/>
    </row>
    <row r="489" spans="1:6" ht="20.25" customHeight="1">
      <c r="A489" s="114" t="s">
        <v>398</v>
      </c>
      <c r="B489" s="112">
        <f>SUM(B490:B492)</f>
        <v>47</v>
      </c>
      <c r="C489" s="112">
        <f>SUM(C490:C492)</f>
        <v>36</v>
      </c>
      <c r="D489" s="112">
        <f>SUM(D490:D492)</f>
        <v>50</v>
      </c>
      <c r="E489" s="111">
        <f t="shared" si="16"/>
        <v>6.382978723404255</v>
      </c>
      <c r="F489" s="108">
        <f t="shared" si="15"/>
        <v>138.88888888888889</v>
      </c>
    </row>
    <row r="490" spans="1:6" ht="20.25" customHeight="1">
      <c r="A490" s="114" t="s">
        <v>399</v>
      </c>
      <c r="B490" s="28">
        <v>14</v>
      </c>
      <c r="C490" s="28">
        <v>13</v>
      </c>
      <c r="D490" s="28">
        <v>14</v>
      </c>
      <c r="E490" s="111">
        <f t="shared" si="16"/>
        <v>0</v>
      </c>
      <c r="F490" s="108">
        <f t="shared" si="15"/>
        <v>107.6923076923077</v>
      </c>
    </row>
    <row r="491" spans="1:6" ht="20.25" customHeight="1">
      <c r="A491" s="114" t="s">
        <v>400</v>
      </c>
      <c r="B491" s="28">
        <v>23</v>
      </c>
      <c r="C491" s="28">
        <v>17</v>
      </c>
      <c r="D491" s="28">
        <v>21</v>
      </c>
      <c r="E491" s="111">
        <f t="shared" si="16"/>
        <v>-8.695652173913043</v>
      </c>
      <c r="F491" s="108">
        <f t="shared" si="15"/>
        <v>123.52941176470588</v>
      </c>
    </row>
    <row r="492" spans="1:6" ht="20.25" customHeight="1">
      <c r="A492" s="114" t="s">
        <v>401</v>
      </c>
      <c r="B492" s="28">
        <v>10</v>
      </c>
      <c r="C492" s="28">
        <v>6</v>
      </c>
      <c r="D492" s="28">
        <v>15</v>
      </c>
      <c r="E492" s="111">
        <f t="shared" si="16"/>
        <v>50</v>
      </c>
      <c r="F492" s="108">
        <f t="shared" si="15"/>
        <v>250</v>
      </c>
    </row>
    <row r="493" spans="1:6" ht="20.25" customHeight="1">
      <c r="A493" s="114" t="s">
        <v>402</v>
      </c>
      <c r="B493" s="112">
        <f>B494+B498+B500</f>
        <v>6118</v>
      </c>
      <c r="C493" s="112">
        <f>C494+C498+C500</f>
        <v>9181</v>
      </c>
      <c r="D493" s="112">
        <f>D494+D498+D500</f>
        <v>9122</v>
      </c>
      <c r="E493" s="111">
        <f t="shared" si="16"/>
        <v>49.101013403072905</v>
      </c>
      <c r="F493" s="108">
        <f t="shared" si="15"/>
        <v>99.35736847837926</v>
      </c>
    </row>
    <row r="494" spans="1:6" ht="20.25" customHeight="1">
      <c r="A494" s="114" t="s">
        <v>403</v>
      </c>
      <c r="B494" s="112">
        <f>SUM(B495:B497)</f>
        <v>2411</v>
      </c>
      <c r="C494" s="112">
        <f>SUM(C495:C497)</f>
        <v>5168</v>
      </c>
      <c r="D494" s="112">
        <f>SUM(D495:D497)</f>
        <v>5169</v>
      </c>
      <c r="E494" s="111">
        <f t="shared" si="16"/>
        <v>114.39236831190378</v>
      </c>
      <c r="F494" s="108">
        <f t="shared" si="15"/>
        <v>100.01934984520125</v>
      </c>
    </row>
    <row r="495" spans="1:7" ht="20.25" customHeight="1">
      <c r="A495" s="60" t="s">
        <v>404</v>
      </c>
      <c r="B495" s="28">
        <v>815</v>
      </c>
      <c r="C495" s="28">
        <v>1499</v>
      </c>
      <c r="D495" s="28">
        <v>1554</v>
      </c>
      <c r="E495" s="111">
        <f t="shared" si="16"/>
        <v>90.67484662576688</v>
      </c>
      <c r="F495" s="108">
        <f t="shared" si="15"/>
        <v>103.66911274182789</v>
      </c>
      <c r="G495" s="25">
        <v>1499</v>
      </c>
    </row>
    <row r="496" spans="1:7" ht="20.25" customHeight="1">
      <c r="A496" s="60" t="s">
        <v>405</v>
      </c>
      <c r="B496" s="28">
        <v>184</v>
      </c>
      <c r="C496" s="28">
        <f>55+757</f>
        <v>812</v>
      </c>
      <c r="D496" s="28">
        <v>757</v>
      </c>
      <c r="E496" s="111">
        <f t="shared" si="16"/>
        <v>311.4130434782609</v>
      </c>
      <c r="F496" s="108">
        <f t="shared" si="15"/>
        <v>93.22660098522168</v>
      </c>
      <c r="G496" s="25">
        <v>757</v>
      </c>
    </row>
    <row r="497" spans="1:7" ht="20.25" customHeight="1">
      <c r="A497" s="27" t="s">
        <v>406</v>
      </c>
      <c r="B497" s="28">
        <v>1412</v>
      </c>
      <c r="C497" s="28">
        <v>2857</v>
      </c>
      <c r="D497" s="28">
        <v>2858</v>
      </c>
      <c r="E497" s="111">
        <f t="shared" si="16"/>
        <v>102.40793201133145</v>
      </c>
      <c r="F497" s="108">
        <f t="shared" si="15"/>
        <v>100.0350017500875</v>
      </c>
      <c r="G497" s="25">
        <v>2857</v>
      </c>
    </row>
    <row r="498" spans="1:6" ht="20.25" customHeight="1">
      <c r="A498" s="114" t="s">
        <v>407</v>
      </c>
      <c r="B498" s="112">
        <f>B499</f>
        <v>3626</v>
      </c>
      <c r="C498" s="112">
        <f>C499</f>
        <v>3805</v>
      </c>
      <c r="D498" s="112">
        <f>D499</f>
        <v>3766</v>
      </c>
      <c r="E498" s="111">
        <f t="shared" si="16"/>
        <v>3.861003861003861</v>
      </c>
      <c r="F498" s="108">
        <f t="shared" si="15"/>
        <v>98.97503285151117</v>
      </c>
    </row>
    <row r="499" spans="1:6" ht="20.25" customHeight="1">
      <c r="A499" s="114" t="s">
        <v>408</v>
      </c>
      <c r="B499" s="28">
        <v>3626</v>
      </c>
      <c r="C499" s="28">
        <v>3805</v>
      </c>
      <c r="D499" s="28">
        <v>3766</v>
      </c>
      <c r="E499" s="111">
        <f t="shared" si="16"/>
        <v>3.861003861003861</v>
      </c>
      <c r="F499" s="108">
        <f t="shared" si="15"/>
        <v>98.97503285151117</v>
      </c>
    </row>
    <row r="500" spans="1:6" ht="20.25" customHeight="1">
      <c r="A500" s="114" t="s">
        <v>409</v>
      </c>
      <c r="B500" s="112">
        <f>B501</f>
        <v>81</v>
      </c>
      <c r="C500" s="112">
        <f>C501</f>
        <v>208</v>
      </c>
      <c r="D500" s="112">
        <f>D501</f>
        <v>187</v>
      </c>
      <c r="E500" s="111">
        <f t="shared" si="16"/>
        <v>130.8641975308642</v>
      </c>
      <c r="F500" s="108">
        <f t="shared" si="15"/>
        <v>89.90384615384616</v>
      </c>
    </row>
    <row r="501" spans="1:6" ht="20.25" customHeight="1">
      <c r="A501" s="114" t="s">
        <v>410</v>
      </c>
      <c r="B501" s="28">
        <v>81</v>
      </c>
      <c r="C501" s="28">
        <v>208</v>
      </c>
      <c r="D501" s="28">
        <v>187</v>
      </c>
      <c r="E501" s="111">
        <f t="shared" si="16"/>
        <v>130.8641975308642</v>
      </c>
      <c r="F501" s="108">
        <f t="shared" si="15"/>
        <v>89.90384615384616</v>
      </c>
    </row>
    <row r="502" spans="1:6" ht="27" customHeight="1">
      <c r="A502" s="114" t="s">
        <v>411</v>
      </c>
      <c r="B502" s="112">
        <f>B503+B510</f>
        <v>1511</v>
      </c>
      <c r="C502" s="112">
        <f>C503+C510</f>
        <v>232</v>
      </c>
      <c r="D502" s="112">
        <f>D503+D510</f>
        <v>247</v>
      </c>
      <c r="E502" s="111">
        <f t="shared" si="16"/>
        <v>-83.65320979483786</v>
      </c>
      <c r="F502" s="108">
        <f t="shared" si="15"/>
        <v>106.46551724137932</v>
      </c>
    </row>
    <row r="503" spans="1:6" ht="20.25" customHeight="1">
      <c r="A503" s="114" t="s">
        <v>412</v>
      </c>
      <c r="B503" s="112">
        <f>SUM(B504:B509)</f>
        <v>594</v>
      </c>
      <c r="C503" s="112">
        <f>SUM(C504:C509)</f>
        <v>232</v>
      </c>
      <c r="D503" s="112">
        <f>SUM(D504:D509)</f>
        <v>247</v>
      </c>
      <c r="E503" s="111">
        <f t="shared" si="16"/>
        <v>-58.417508417508415</v>
      </c>
      <c r="F503" s="108">
        <f t="shared" si="15"/>
        <v>106.46551724137932</v>
      </c>
    </row>
    <row r="504" spans="1:6" ht="20.25" customHeight="1">
      <c r="A504" s="114" t="s">
        <v>35</v>
      </c>
      <c r="B504" s="28">
        <v>100</v>
      </c>
      <c r="C504" s="28">
        <v>77</v>
      </c>
      <c r="D504" s="28">
        <v>88</v>
      </c>
      <c r="E504" s="111">
        <f t="shared" si="16"/>
        <v>-12</v>
      </c>
      <c r="F504" s="108">
        <f t="shared" si="15"/>
        <v>114.28571428571428</v>
      </c>
    </row>
    <row r="505" spans="1:6" ht="20.25" customHeight="1">
      <c r="A505" s="27" t="s">
        <v>36</v>
      </c>
      <c r="B505" s="28"/>
      <c r="C505" s="28"/>
      <c r="D505" s="28"/>
      <c r="E505" s="111"/>
      <c r="F505" s="108"/>
    </row>
    <row r="506" spans="1:6" ht="20.25" customHeight="1">
      <c r="A506" s="27" t="s">
        <v>413</v>
      </c>
      <c r="B506" s="28">
        <v>5</v>
      </c>
      <c r="C506" s="28"/>
      <c r="D506" s="28"/>
      <c r="E506" s="111">
        <f t="shared" si="16"/>
        <v>-100</v>
      </c>
      <c r="F506" s="108"/>
    </row>
    <row r="507" spans="1:6" ht="20.25" customHeight="1">
      <c r="A507" s="27" t="s">
        <v>414</v>
      </c>
      <c r="B507" s="28">
        <v>7</v>
      </c>
      <c r="C507" s="28"/>
      <c r="D507" s="28">
        <v>14</v>
      </c>
      <c r="E507" s="111">
        <f t="shared" si="16"/>
        <v>100</v>
      </c>
      <c r="F507" s="108"/>
    </row>
    <row r="508" spans="1:6" ht="20.25" customHeight="1">
      <c r="A508" s="114" t="s">
        <v>46</v>
      </c>
      <c r="B508" s="28">
        <v>39</v>
      </c>
      <c r="C508" s="28">
        <v>34</v>
      </c>
      <c r="D508" s="28">
        <v>40</v>
      </c>
      <c r="E508" s="111">
        <f t="shared" si="16"/>
        <v>2.564102564102564</v>
      </c>
      <c r="F508" s="108">
        <f t="shared" si="15"/>
        <v>117.64705882352942</v>
      </c>
    </row>
    <row r="509" spans="1:6" ht="20.25" customHeight="1">
      <c r="A509" s="114" t="s">
        <v>415</v>
      </c>
      <c r="B509" s="28">
        <v>443</v>
      </c>
      <c r="C509" s="28">
        <v>121</v>
      </c>
      <c r="D509" s="28">
        <v>105</v>
      </c>
      <c r="E509" s="111">
        <f t="shared" si="16"/>
        <v>-76.2979683972912</v>
      </c>
      <c r="F509" s="108">
        <f t="shared" si="15"/>
        <v>86.77685950413223</v>
      </c>
    </row>
    <row r="510" spans="1:6" ht="20.25" customHeight="1">
      <c r="A510" s="27" t="s">
        <v>416</v>
      </c>
      <c r="B510" s="112">
        <f>B511</f>
        <v>917</v>
      </c>
      <c r="C510" s="112">
        <f>C511</f>
        <v>0</v>
      </c>
      <c r="D510" s="112">
        <f>D511</f>
        <v>0</v>
      </c>
      <c r="E510" s="111">
        <f t="shared" si="16"/>
        <v>-100</v>
      </c>
      <c r="F510" s="108"/>
    </row>
    <row r="511" spans="1:6" ht="20.25" customHeight="1">
      <c r="A511" s="27" t="s">
        <v>417</v>
      </c>
      <c r="B511" s="28">
        <v>917</v>
      </c>
      <c r="C511" s="28"/>
      <c r="D511" s="28"/>
      <c r="E511" s="111">
        <f t="shared" si="16"/>
        <v>-100</v>
      </c>
      <c r="F511" s="108"/>
    </row>
    <row r="512" spans="1:6" ht="20.25" customHeight="1">
      <c r="A512" s="27" t="s">
        <v>418</v>
      </c>
      <c r="B512" s="62">
        <f aca="true" t="shared" si="17" ref="B512:D513">B513</f>
        <v>77</v>
      </c>
      <c r="C512" s="62">
        <f t="shared" si="17"/>
        <v>81</v>
      </c>
      <c r="D512" s="62">
        <f t="shared" si="17"/>
        <v>105</v>
      </c>
      <c r="E512" s="111">
        <f t="shared" si="16"/>
        <v>36.36363636363637</v>
      </c>
      <c r="F512" s="108">
        <f t="shared" si="15"/>
        <v>129.62962962962962</v>
      </c>
    </row>
    <row r="513" spans="1:6" ht="20.25" customHeight="1">
      <c r="A513" s="27" t="s">
        <v>419</v>
      </c>
      <c r="B513" s="62">
        <f t="shared" si="17"/>
        <v>77</v>
      </c>
      <c r="C513" s="62">
        <f t="shared" si="17"/>
        <v>81</v>
      </c>
      <c r="D513" s="62">
        <f t="shared" si="17"/>
        <v>105</v>
      </c>
      <c r="E513" s="111">
        <f t="shared" si="16"/>
        <v>36.36363636363637</v>
      </c>
      <c r="F513" s="108">
        <f t="shared" si="15"/>
        <v>129.62962962962962</v>
      </c>
    </row>
    <row r="514" spans="1:7" ht="20.25" customHeight="1">
      <c r="A514" s="63" t="s">
        <v>420</v>
      </c>
      <c r="B514" s="29">
        <v>77</v>
      </c>
      <c r="C514" s="29">
        <f>22+59</f>
        <v>81</v>
      </c>
      <c r="D514" s="29">
        <v>105</v>
      </c>
      <c r="E514" s="111">
        <f t="shared" si="16"/>
        <v>36.36363636363637</v>
      </c>
      <c r="F514" s="108">
        <f t="shared" si="15"/>
        <v>129.62962962962962</v>
      </c>
      <c r="G514" s="25">
        <v>59</v>
      </c>
    </row>
    <row r="515" spans="1:6" ht="20.25" customHeight="1">
      <c r="A515" s="27" t="s">
        <v>421</v>
      </c>
      <c r="B515" s="62">
        <f aca="true" t="shared" si="18" ref="B515:D517">B516</f>
        <v>864</v>
      </c>
      <c r="C515" s="62">
        <f t="shared" si="18"/>
        <v>1413</v>
      </c>
      <c r="D515" s="62">
        <f t="shared" si="18"/>
        <v>1413</v>
      </c>
      <c r="E515" s="111">
        <f t="shared" si="16"/>
        <v>63.541666666666664</v>
      </c>
      <c r="F515" s="108">
        <f t="shared" si="15"/>
        <v>100</v>
      </c>
    </row>
    <row r="516" spans="1:6" ht="20.25" customHeight="1">
      <c r="A516" s="27" t="s">
        <v>422</v>
      </c>
      <c r="B516" s="64">
        <f t="shared" si="18"/>
        <v>864</v>
      </c>
      <c r="C516" s="64">
        <f t="shared" si="18"/>
        <v>1413</v>
      </c>
      <c r="D516" s="64">
        <f t="shared" si="18"/>
        <v>1413</v>
      </c>
      <c r="E516" s="111">
        <f t="shared" si="16"/>
        <v>63.541666666666664</v>
      </c>
      <c r="F516" s="108">
        <f t="shared" si="15"/>
        <v>100</v>
      </c>
    </row>
    <row r="517" spans="1:6" ht="20.25" customHeight="1">
      <c r="A517" s="27" t="s">
        <v>423</v>
      </c>
      <c r="B517" s="62">
        <f t="shared" si="18"/>
        <v>864</v>
      </c>
      <c r="C517" s="62">
        <f t="shared" si="18"/>
        <v>1413</v>
      </c>
      <c r="D517" s="62">
        <f t="shared" si="18"/>
        <v>1413</v>
      </c>
      <c r="E517" s="111">
        <f t="shared" si="16"/>
        <v>63.541666666666664</v>
      </c>
      <c r="F517" s="108">
        <f t="shared" si="15"/>
        <v>100</v>
      </c>
    </row>
    <row r="518" spans="1:6" ht="20.25" customHeight="1">
      <c r="A518" s="27" t="s">
        <v>424</v>
      </c>
      <c r="B518" s="62">
        <v>864</v>
      </c>
      <c r="C518" s="62">
        <v>1413</v>
      </c>
      <c r="D518" s="62">
        <v>1413</v>
      </c>
      <c r="E518" s="111">
        <f t="shared" si="16"/>
        <v>63.541666666666664</v>
      </c>
      <c r="F518" s="108">
        <f>D518/C518*100</f>
        <v>100</v>
      </c>
    </row>
    <row r="519" spans="1:6" ht="20.25" customHeight="1">
      <c r="A519" s="27" t="s">
        <v>425</v>
      </c>
      <c r="B519" s="29">
        <f>B520</f>
        <v>17</v>
      </c>
      <c r="C519" s="29"/>
      <c r="D519" s="29">
        <f>D520</f>
        <v>0</v>
      </c>
      <c r="E519" s="111">
        <f t="shared" si="16"/>
        <v>-100</v>
      </c>
      <c r="F519" s="108"/>
    </row>
    <row r="520" spans="1:6" ht="20.25" customHeight="1">
      <c r="A520" s="27" t="s">
        <v>426</v>
      </c>
      <c r="B520" s="29">
        <f>B521</f>
        <v>17</v>
      </c>
      <c r="C520" s="29"/>
      <c r="D520" s="29">
        <f>D521</f>
        <v>0</v>
      </c>
      <c r="E520" s="111">
        <f t="shared" si="16"/>
        <v>-100</v>
      </c>
      <c r="F520" s="108"/>
    </row>
    <row r="521" spans="1:6" ht="20.25" customHeight="1" thickBot="1">
      <c r="A521" s="30" t="s">
        <v>427</v>
      </c>
      <c r="B521" s="65">
        <v>17</v>
      </c>
      <c r="C521" s="65"/>
      <c r="D521" s="65"/>
      <c r="E521" s="119">
        <f t="shared" si="16"/>
        <v>-100</v>
      </c>
      <c r="F521" s="109"/>
    </row>
  </sheetData>
  <sheetProtection/>
  <mergeCells count="7">
    <mergeCell ref="F3:F4"/>
    <mergeCell ref="A1:F1"/>
    <mergeCell ref="E3:E4"/>
    <mergeCell ref="A3:A4"/>
    <mergeCell ref="B3:B4"/>
    <mergeCell ref="D3:D4"/>
    <mergeCell ref="C3:C4"/>
  </mergeCells>
  <printOptions horizontalCentered="1"/>
  <pageMargins left="0.5118110236220472" right="0.5118110236220472" top="0.35433070866141736" bottom="0.35433070866141736" header="0.3937007874015748" footer="0.1968503937007874"/>
  <pageSetup fitToHeight="1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showZeros="0" zoomScalePageLayoutView="0" workbookViewId="0" topLeftCell="A1">
      <pane xSplit="1" ySplit="2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5" sqref="B35:B36"/>
    </sheetView>
  </sheetViews>
  <sheetFormatPr defaultColWidth="9.33203125" defaultRowHeight="11.25"/>
  <cols>
    <col min="1" max="1" width="39.5" style="45" customWidth="1"/>
    <col min="2" max="2" width="41.16015625" style="45" customWidth="1"/>
    <col min="3" max="32" width="12" style="45" customWidth="1"/>
    <col min="33" max="16384" width="9.33203125" style="45" customWidth="1"/>
  </cols>
  <sheetData>
    <row r="1" spans="1:2" ht="19.5" customHeight="1">
      <c r="A1" s="206" t="s">
        <v>557</v>
      </c>
      <c r="B1" s="206"/>
    </row>
    <row r="2" ht="15" thickBot="1">
      <c r="B2" s="46" t="s">
        <v>1</v>
      </c>
    </row>
    <row r="3" spans="1:2" ht="21.75" customHeight="1">
      <c r="A3" s="120" t="s">
        <v>30</v>
      </c>
      <c r="B3" s="121" t="s">
        <v>555</v>
      </c>
    </row>
    <row r="4" spans="1:2" ht="21.75" customHeight="1">
      <c r="A4" s="122" t="s">
        <v>32</v>
      </c>
      <c r="B4" s="123">
        <f>B5+B12+B39+B51</f>
        <v>68916</v>
      </c>
    </row>
    <row r="5" spans="1:2" ht="21.75" customHeight="1">
      <c r="A5" s="124" t="s">
        <v>428</v>
      </c>
      <c r="B5" s="123">
        <f>SUM(B6:B11)</f>
        <v>39193</v>
      </c>
    </row>
    <row r="6" spans="1:2" ht="21.75" customHeight="1">
      <c r="A6" s="125" t="s">
        <v>429</v>
      </c>
      <c r="B6" s="123">
        <v>20960</v>
      </c>
    </row>
    <row r="7" spans="1:2" ht="21.75" customHeight="1">
      <c r="A7" s="125" t="s">
        <v>430</v>
      </c>
      <c r="B7" s="123">
        <v>12405</v>
      </c>
    </row>
    <row r="8" spans="1:2" ht="21.75" customHeight="1">
      <c r="A8" s="125" t="s">
        <v>431</v>
      </c>
      <c r="B8" s="123">
        <v>1672</v>
      </c>
    </row>
    <row r="9" spans="1:2" ht="21.75" customHeight="1">
      <c r="A9" s="125" t="s">
        <v>432</v>
      </c>
      <c r="B9" s="123">
        <v>2414</v>
      </c>
    </row>
    <row r="10" spans="1:2" ht="21.75" customHeight="1">
      <c r="A10" s="125" t="s">
        <v>611</v>
      </c>
      <c r="B10" s="123">
        <v>1723</v>
      </c>
    </row>
    <row r="11" spans="1:2" ht="21.75" customHeight="1">
      <c r="A11" s="126" t="s">
        <v>433</v>
      </c>
      <c r="B11" s="123">
        <v>19</v>
      </c>
    </row>
    <row r="12" spans="1:2" ht="21.75" customHeight="1">
      <c r="A12" s="124" t="s">
        <v>434</v>
      </c>
      <c r="B12" s="123">
        <f>SUM(B13:B38)</f>
        <v>7821</v>
      </c>
    </row>
    <row r="13" spans="1:2" ht="21.75" customHeight="1">
      <c r="A13" s="126" t="s">
        <v>435</v>
      </c>
      <c r="B13" s="123">
        <v>1142</v>
      </c>
    </row>
    <row r="14" spans="1:2" ht="21.75" customHeight="1">
      <c r="A14" s="126" t="s">
        <v>436</v>
      </c>
      <c r="B14" s="123">
        <v>55</v>
      </c>
    </row>
    <row r="15" spans="1:2" ht="21.75" customHeight="1">
      <c r="A15" s="126" t="s">
        <v>437</v>
      </c>
      <c r="B15" s="123">
        <v>2</v>
      </c>
    </row>
    <row r="16" spans="1:2" ht="21.75" customHeight="1">
      <c r="A16" s="126" t="s">
        <v>438</v>
      </c>
      <c r="B16" s="123">
        <v>1</v>
      </c>
    </row>
    <row r="17" spans="1:2" ht="21.75" customHeight="1">
      <c r="A17" s="126" t="s">
        <v>439</v>
      </c>
      <c r="B17" s="123">
        <v>82</v>
      </c>
    </row>
    <row r="18" spans="1:2" ht="21.75" customHeight="1">
      <c r="A18" s="126" t="s">
        <v>440</v>
      </c>
      <c r="B18" s="123">
        <v>333</v>
      </c>
    </row>
    <row r="19" spans="1:2" ht="21.75" customHeight="1">
      <c r="A19" s="126" t="s">
        <v>441</v>
      </c>
      <c r="B19" s="123">
        <v>176</v>
      </c>
    </row>
    <row r="20" spans="1:2" ht="21.75" customHeight="1">
      <c r="A20" s="125" t="s">
        <v>442</v>
      </c>
      <c r="B20" s="123">
        <v>1445</v>
      </c>
    </row>
    <row r="21" spans="1:2" ht="21.75" customHeight="1">
      <c r="A21" s="126" t="s">
        <v>443</v>
      </c>
      <c r="B21" s="123">
        <v>39</v>
      </c>
    </row>
    <row r="22" spans="1:2" ht="21.75" customHeight="1">
      <c r="A22" s="126" t="s">
        <v>444</v>
      </c>
      <c r="B22" s="123">
        <v>304</v>
      </c>
    </row>
    <row r="23" spans="1:2" ht="21.75" customHeight="1">
      <c r="A23" s="126" t="s">
        <v>445</v>
      </c>
      <c r="B23" s="123">
        <v>531</v>
      </c>
    </row>
    <row r="24" spans="1:2" ht="21.75" customHeight="1">
      <c r="A24" s="126" t="s">
        <v>446</v>
      </c>
      <c r="B24" s="123">
        <v>7</v>
      </c>
    </row>
    <row r="25" spans="1:2" ht="21.75" customHeight="1">
      <c r="A25" s="126" t="s">
        <v>447</v>
      </c>
      <c r="B25" s="123">
        <v>28</v>
      </c>
    </row>
    <row r="26" spans="1:2" ht="21.75" customHeight="1">
      <c r="A26" s="126" t="s">
        <v>448</v>
      </c>
      <c r="B26" s="123">
        <v>37</v>
      </c>
    </row>
    <row r="27" spans="1:2" ht="21.75" customHeight="1">
      <c r="A27" s="126" t="s">
        <v>449</v>
      </c>
      <c r="B27" s="123">
        <v>73</v>
      </c>
    </row>
    <row r="28" spans="1:2" ht="21.75" customHeight="1">
      <c r="A28" s="126" t="s">
        <v>450</v>
      </c>
      <c r="B28" s="123">
        <v>217</v>
      </c>
    </row>
    <row r="29" spans="1:2" ht="21.75" customHeight="1">
      <c r="A29" s="126" t="s">
        <v>451</v>
      </c>
      <c r="B29" s="123">
        <v>4</v>
      </c>
    </row>
    <row r="30" spans="1:2" ht="21.75" customHeight="1">
      <c r="A30" s="126" t="s">
        <v>452</v>
      </c>
      <c r="B30" s="123"/>
    </row>
    <row r="31" spans="1:2" ht="21.75" customHeight="1">
      <c r="A31" s="126" t="s">
        <v>453</v>
      </c>
      <c r="B31" s="123">
        <v>1975</v>
      </c>
    </row>
    <row r="32" spans="1:2" ht="21.75" customHeight="1">
      <c r="A32" s="126" t="s">
        <v>612</v>
      </c>
      <c r="B32" s="123">
        <v>1</v>
      </c>
    </row>
    <row r="33" spans="1:2" ht="21.75" customHeight="1">
      <c r="A33" s="127" t="s">
        <v>454</v>
      </c>
      <c r="B33" s="123">
        <v>78</v>
      </c>
    </row>
    <row r="34" spans="1:2" ht="21.75" customHeight="1">
      <c r="A34" s="128" t="s">
        <v>455</v>
      </c>
      <c r="B34" s="123">
        <v>17</v>
      </c>
    </row>
    <row r="35" spans="1:2" ht="21.75" customHeight="1">
      <c r="A35" s="129" t="s">
        <v>456</v>
      </c>
      <c r="B35" s="123">
        <v>350</v>
      </c>
    </row>
    <row r="36" spans="1:2" ht="21.75" customHeight="1">
      <c r="A36" s="129" t="s">
        <v>457</v>
      </c>
      <c r="B36" s="123">
        <v>741</v>
      </c>
    </row>
    <row r="37" spans="1:2" ht="21.75" customHeight="1">
      <c r="A37" s="129" t="s">
        <v>458</v>
      </c>
      <c r="B37" s="123"/>
    </row>
    <row r="38" spans="1:2" ht="21.75" customHeight="1">
      <c r="A38" s="130" t="s">
        <v>459</v>
      </c>
      <c r="B38" s="123">
        <v>183</v>
      </c>
    </row>
    <row r="39" spans="1:2" ht="21.75" customHeight="1">
      <c r="A39" s="124" t="s">
        <v>460</v>
      </c>
      <c r="B39" s="123">
        <f>SUM(B40:B50)</f>
        <v>21855</v>
      </c>
    </row>
    <row r="40" spans="1:2" ht="21.75" customHeight="1">
      <c r="A40" s="126" t="s">
        <v>461</v>
      </c>
      <c r="B40" s="123">
        <v>485</v>
      </c>
    </row>
    <row r="41" spans="1:2" ht="21.75" customHeight="1">
      <c r="A41" s="126" t="s">
        <v>462</v>
      </c>
      <c r="B41" s="123">
        <v>12656</v>
      </c>
    </row>
    <row r="42" spans="1:2" ht="21.75" customHeight="1">
      <c r="A42" s="126" t="s">
        <v>463</v>
      </c>
      <c r="B42" s="123">
        <v>7</v>
      </c>
    </row>
    <row r="43" spans="1:2" ht="21.75" customHeight="1">
      <c r="A43" s="126" t="s">
        <v>464</v>
      </c>
      <c r="B43" s="123">
        <v>994</v>
      </c>
    </row>
    <row r="44" spans="1:2" ht="21.75" customHeight="1">
      <c r="A44" s="126" t="s">
        <v>465</v>
      </c>
      <c r="B44" s="123">
        <v>762</v>
      </c>
    </row>
    <row r="45" spans="1:2" ht="21.75" customHeight="1">
      <c r="A45" s="126" t="s">
        <v>466</v>
      </c>
      <c r="B45" s="123"/>
    </row>
    <row r="46" spans="1:2" ht="21.75" customHeight="1">
      <c r="A46" s="126" t="s">
        <v>467</v>
      </c>
      <c r="B46" s="123">
        <v>465</v>
      </c>
    </row>
    <row r="47" spans="1:2" ht="21.75" customHeight="1">
      <c r="A47" s="126" t="s">
        <v>468</v>
      </c>
      <c r="B47" s="123">
        <v>49</v>
      </c>
    </row>
    <row r="48" spans="1:2" ht="21.75" customHeight="1">
      <c r="A48" s="126" t="s">
        <v>469</v>
      </c>
      <c r="B48" s="123">
        <v>3766</v>
      </c>
    </row>
    <row r="49" spans="1:2" ht="21.75" customHeight="1">
      <c r="A49" s="126" t="s">
        <v>613</v>
      </c>
      <c r="B49" s="123">
        <v>2096</v>
      </c>
    </row>
    <row r="50" spans="1:2" ht="21.75" customHeight="1">
      <c r="A50" s="126" t="s">
        <v>470</v>
      </c>
      <c r="B50" s="123">
        <v>575</v>
      </c>
    </row>
    <row r="51" spans="1:2" ht="21.75" customHeight="1">
      <c r="A51" s="131" t="s">
        <v>471</v>
      </c>
      <c r="B51" s="132">
        <f>SUM(B52:B54)</f>
        <v>47</v>
      </c>
    </row>
    <row r="52" spans="1:2" ht="21.75" customHeight="1">
      <c r="A52" s="129" t="s">
        <v>472</v>
      </c>
      <c r="B52" s="132">
        <v>23</v>
      </c>
    </row>
    <row r="53" spans="1:2" ht="21.75" customHeight="1">
      <c r="A53" s="129" t="s">
        <v>473</v>
      </c>
      <c r="B53" s="132">
        <v>24</v>
      </c>
    </row>
    <row r="54" spans="1:2" ht="21.75" customHeight="1">
      <c r="A54" s="129" t="s">
        <v>474</v>
      </c>
      <c r="B54" s="132"/>
    </row>
    <row r="55" spans="1:2" ht="21.75" customHeight="1">
      <c r="A55" s="133"/>
      <c r="B55" s="134"/>
    </row>
    <row r="56" spans="1:2" ht="21.75" customHeight="1" thickBot="1">
      <c r="A56" s="135"/>
      <c r="B56" s="13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8267716535433072" right="0.15748031496062992" top="0.4724409448818898" bottom="0.4724409448818898" header="0.1968503937007874" footer="0.354330708661417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L14" sqref="L14"/>
    </sheetView>
  </sheetViews>
  <sheetFormatPr defaultColWidth="9.33203125" defaultRowHeight="11.25"/>
  <cols>
    <col min="1" max="1" width="42" style="34" customWidth="1"/>
    <col min="2" max="2" width="19.66015625" style="34" customWidth="1"/>
    <col min="3" max="3" width="40.66015625" style="34" customWidth="1"/>
    <col min="4" max="4" width="23.5" style="34" customWidth="1"/>
    <col min="5" max="5" width="9.33203125" style="34" hidden="1" customWidth="1"/>
    <col min="6" max="6" width="21.5" style="34" bestFit="1" customWidth="1"/>
    <col min="7" max="32" width="12" style="34" customWidth="1"/>
    <col min="33" max="16384" width="9.33203125" style="34" customWidth="1"/>
  </cols>
  <sheetData>
    <row r="1" spans="1:4" s="31" customFormat="1" ht="54" customHeight="1">
      <c r="A1" s="207" t="s">
        <v>558</v>
      </c>
      <c r="B1" s="207"/>
      <c r="C1" s="207"/>
      <c r="D1" s="207"/>
    </row>
    <row r="2" spans="1:4" s="32" customFormat="1" ht="27.75" customHeight="1" thickBot="1">
      <c r="A2" s="35"/>
      <c r="B2" s="35"/>
      <c r="C2" s="35"/>
      <c r="D2" s="36" t="s">
        <v>475</v>
      </c>
    </row>
    <row r="3" spans="1:4" s="33" customFormat="1" ht="22.5" customHeight="1">
      <c r="A3" s="184" t="s">
        <v>30</v>
      </c>
      <c r="B3" s="185" t="s">
        <v>476</v>
      </c>
      <c r="C3" s="186" t="s">
        <v>30</v>
      </c>
      <c r="D3" s="187" t="s">
        <v>476</v>
      </c>
    </row>
    <row r="4" spans="1:4" ht="30" customHeight="1">
      <c r="A4" s="37" t="s">
        <v>477</v>
      </c>
      <c r="B4" s="137">
        <v>38721</v>
      </c>
      <c r="C4" s="183" t="s">
        <v>478</v>
      </c>
      <c r="D4" s="138">
        <v>205860</v>
      </c>
    </row>
    <row r="5" spans="1:4" ht="30" customHeight="1">
      <c r="A5" s="38" t="s">
        <v>479</v>
      </c>
      <c r="B5" s="137">
        <f>SUM(B6:B11)</f>
        <v>189310</v>
      </c>
      <c r="C5" s="139" t="s">
        <v>480</v>
      </c>
      <c r="D5" s="140">
        <f>SUM(D6:D7)</f>
        <v>20188</v>
      </c>
    </row>
    <row r="6" spans="1:4" ht="30" customHeight="1">
      <c r="A6" s="39" t="s">
        <v>481</v>
      </c>
      <c r="B6" s="141">
        <v>4934</v>
      </c>
      <c r="C6" s="142" t="s">
        <v>482</v>
      </c>
      <c r="D6" s="143">
        <v>15280</v>
      </c>
    </row>
    <row r="7" spans="1:4" ht="30" customHeight="1">
      <c r="A7" s="40" t="s">
        <v>483</v>
      </c>
      <c r="B7" s="141">
        <v>106853</v>
      </c>
      <c r="C7" s="142" t="s">
        <v>484</v>
      </c>
      <c r="D7" s="143">
        <v>4908</v>
      </c>
    </row>
    <row r="8" spans="1:4" ht="30" customHeight="1">
      <c r="A8" s="40" t="s">
        <v>485</v>
      </c>
      <c r="B8" s="141">
        <v>72972</v>
      </c>
      <c r="C8" s="144" t="s">
        <v>486</v>
      </c>
      <c r="D8" s="140"/>
    </row>
    <row r="9" spans="1:4" ht="30" customHeight="1">
      <c r="A9" s="168" t="s">
        <v>578</v>
      </c>
      <c r="B9" s="141">
        <v>4083</v>
      </c>
      <c r="C9" s="139" t="s">
        <v>487</v>
      </c>
      <c r="D9" s="140"/>
    </row>
    <row r="10" spans="1:4" ht="30" customHeight="1">
      <c r="A10" s="167" t="s">
        <v>579</v>
      </c>
      <c r="B10" s="141">
        <v>468</v>
      </c>
      <c r="C10" s="41" t="s">
        <v>488</v>
      </c>
      <c r="D10" s="145">
        <v>1983</v>
      </c>
    </row>
    <row r="11" spans="1:4" ht="30" customHeight="1">
      <c r="A11" s="169"/>
      <c r="B11" s="141"/>
      <c r="C11" s="41" t="s">
        <v>489</v>
      </c>
      <c r="D11" s="146">
        <v>1983</v>
      </c>
    </row>
    <row r="12" spans="1:4" ht="30" customHeight="1">
      <c r="A12" s="42"/>
      <c r="B12" s="147"/>
      <c r="C12" s="148"/>
      <c r="D12" s="146"/>
    </row>
    <row r="13" spans="1:4" ht="30" customHeight="1">
      <c r="A13" s="42"/>
      <c r="B13" s="147"/>
      <c r="C13" s="148"/>
      <c r="D13" s="146"/>
    </row>
    <row r="14" spans="1:6" ht="24.75" customHeight="1" thickBot="1">
      <c r="A14" s="43" t="s">
        <v>490</v>
      </c>
      <c r="B14" s="149">
        <f>B4+B5</f>
        <v>228031</v>
      </c>
      <c r="C14" s="150" t="s">
        <v>491</v>
      </c>
      <c r="D14" s="151">
        <f>D4+D5+D8+D9+D10</f>
        <v>228031</v>
      </c>
      <c r="F14" s="44">
        <f>B14-D14</f>
        <v>0</v>
      </c>
    </row>
  </sheetData>
  <sheetProtection/>
  <mergeCells count="1">
    <mergeCell ref="A1:D1"/>
  </mergeCells>
  <printOptions horizontalCentered="1"/>
  <pageMargins left="1.299212598425197" right="0.7480314960629921" top="0.69" bottom="0.3937007874015748" header="0.35433070866141736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5" sqref="L35"/>
    </sheetView>
  </sheetViews>
  <sheetFormatPr defaultColWidth="9.33203125" defaultRowHeight="11.25"/>
  <cols>
    <col min="1" max="1" width="46" style="0" customWidth="1"/>
    <col min="2" max="4" width="22.83203125" style="0" customWidth="1"/>
    <col min="5" max="5" width="21.66015625" style="0" customWidth="1"/>
    <col min="6" max="6" width="19.16015625" style="0" customWidth="1"/>
    <col min="7" max="7" width="11.5" style="0" customWidth="1"/>
    <col min="9" max="9" width="12" style="0" customWidth="1"/>
  </cols>
  <sheetData>
    <row r="1" spans="1:7" ht="22.5">
      <c r="A1" s="209" t="s">
        <v>559</v>
      </c>
      <c r="B1" s="209"/>
      <c r="C1" s="209"/>
      <c r="D1" s="209"/>
      <c r="E1" s="209"/>
      <c r="F1" s="209"/>
      <c r="G1" s="209"/>
    </row>
    <row r="2" spans="1:7" ht="12.75" thickBot="1">
      <c r="A2" s="208"/>
      <c r="B2" s="208"/>
      <c r="C2" s="208"/>
      <c r="D2" s="208"/>
      <c r="E2" s="79"/>
      <c r="F2" s="79"/>
      <c r="G2" s="84" t="s">
        <v>1</v>
      </c>
    </row>
    <row r="3" spans="1:7" ht="24">
      <c r="A3" s="152" t="s">
        <v>30</v>
      </c>
      <c r="B3" s="153" t="s">
        <v>560</v>
      </c>
      <c r="C3" s="154" t="s">
        <v>571</v>
      </c>
      <c r="D3" s="155" t="s">
        <v>539</v>
      </c>
      <c r="E3" s="156" t="s">
        <v>577</v>
      </c>
      <c r="F3" s="180" t="s">
        <v>621</v>
      </c>
      <c r="G3" s="157" t="s">
        <v>501</v>
      </c>
    </row>
    <row r="4" spans="1:9" ht="12">
      <c r="A4" s="158" t="s">
        <v>502</v>
      </c>
      <c r="B4" s="80">
        <f>B5+B9+B28</f>
        <v>184759</v>
      </c>
      <c r="C4" s="80">
        <f>C5+C9+C28</f>
        <v>173556</v>
      </c>
      <c r="D4" s="80">
        <f>D5+D9+D28</f>
        <v>163535</v>
      </c>
      <c r="E4" s="85">
        <f>(B4-D4)/D4*100</f>
        <v>12.978261534228148</v>
      </c>
      <c r="F4" s="118">
        <f>B4/C4*100</f>
        <v>106.45497706792044</v>
      </c>
      <c r="G4" s="159"/>
      <c r="I4" s="78"/>
    </row>
    <row r="5" spans="1:7" ht="12">
      <c r="A5" s="158" t="s">
        <v>503</v>
      </c>
      <c r="B5" s="80">
        <f>SUM(B6:B8)</f>
        <v>4934</v>
      </c>
      <c r="C5" s="80">
        <f>SUM(C6:C8)</f>
        <v>4984</v>
      </c>
      <c r="D5" s="80">
        <f>SUM(D6:D8)</f>
        <v>4567</v>
      </c>
      <c r="E5" s="85">
        <f aca="true" t="shared" si="0" ref="E5:E48">(B5-D5)/D5*100</f>
        <v>8.035909787606744</v>
      </c>
      <c r="F5" s="118">
        <f aca="true" t="shared" si="1" ref="F5:F48">B5/C5*100</f>
        <v>98.99678972712681</v>
      </c>
      <c r="G5" s="159"/>
    </row>
    <row r="6" spans="1:7" ht="12">
      <c r="A6" s="160" t="s">
        <v>504</v>
      </c>
      <c r="B6" s="81">
        <v>2835</v>
      </c>
      <c r="C6" s="81">
        <v>2835</v>
      </c>
      <c r="D6" s="81">
        <v>2835</v>
      </c>
      <c r="E6" s="85">
        <f t="shared" si="0"/>
        <v>0</v>
      </c>
      <c r="F6" s="118">
        <f t="shared" si="1"/>
        <v>100</v>
      </c>
      <c r="G6" s="159"/>
    </row>
    <row r="7" spans="1:7" ht="12">
      <c r="A7" s="160" t="s">
        <v>505</v>
      </c>
      <c r="B7" s="81">
        <v>1174</v>
      </c>
      <c r="C7" s="81">
        <v>1174</v>
      </c>
      <c r="D7" s="81">
        <v>1174</v>
      </c>
      <c r="E7" s="85">
        <f t="shared" si="0"/>
        <v>0</v>
      </c>
      <c r="F7" s="118">
        <f t="shared" si="1"/>
        <v>100</v>
      </c>
      <c r="G7" s="159"/>
    </row>
    <row r="8" spans="1:7" ht="12">
      <c r="A8" s="160" t="s">
        <v>506</v>
      </c>
      <c r="B8" s="81">
        <v>925</v>
      </c>
      <c r="C8" s="81">
        <v>975</v>
      </c>
      <c r="D8" s="81">
        <v>558</v>
      </c>
      <c r="E8" s="85">
        <f t="shared" si="0"/>
        <v>65.77060931899642</v>
      </c>
      <c r="F8" s="118">
        <f t="shared" si="1"/>
        <v>94.87179487179486</v>
      </c>
      <c r="G8" s="159"/>
    </row>
    <row r="9" spans="1:7" ht="12">
      <c r="A9" s="158" t="s">
        <v>507</v>
      </c>
      <c r="B9" s="80">
        <f>SUM(B10:B27)</f>
        <v>106853</v>
      </c>
      <c r="C9" s="80">
        <f>SUM(C10:C27)</f>
        <v>72825</v>
      </c>
      <c r="D9" s="80">
        <f>SUM(D10:D27)</f>
        <v>94890</v>
      </c>
      <c r="E9" s="85">
        <f t="shared" si="0"/>
        <v>12.607229423543052</v>
      </c>
      <c r="F9" s="118">
        <f t="shared" si="1"/>
        <v>146.72571232406452</v>
      </c>
      <c r="G9" s="159"/>
    </row>
    <row r="10" spans="1:7" ht="12">
      <c r="A10" s="160" t="s">
        <v>508</v>
      </c>
      <c r="B10" s="81">
        <v>1598</v>
      </c>
      <c r="C10" s="81">
        <v>1598</v>
      </c>
      <c r="D10" s="81">
        <v>1598</v>
      </c>
      <c r="E10" s="85">
        <f t="shared" si="0"/>
        <v>0</v>
      </c>
      <c r="F10" s="118">
        <f t="shared" si="1"/>
        <v>100</v>
      </c>
      <c r="G10" s="159"/>
    </row>
    <row r="11" spans="1:7" ht="12">
      <c r="A11" s="160" t="s">
        <v>509</v>
      </c>
      <c r="B11" s="81">
        <v>29823</v>
      </c>
      <c r="C11" s="81">
        <v>27808</v>
      </c>
      <c r="D11" s="81">
        <v>27634</v>
      </c>
      <c r="E11" s="85">
        <f t="shared" si="0"/>
        <v>7.9214011724686975</v>
      </c>
      <c r="F11" s="118">
        <f t="shared" si="1"/>
        <v>107.2461162255466</v>
      </c>
      <c r="G11" s="159"/>
    </row>
    <row r="12" spans="1:7" ht="12">
      <c r="A12" s="160" t="s">
        <v>510</v>
      </c>
      <c r="B12" s="81">
        <v>4479</v>
      </c>
      <c r="C12" s="81">
        <v>4479</v>
      </c>
      <c r="D12" s="81">
        <v>6315</v>
      </c>
      <c r="E12" s="85">
        <f t="shared" si="0"/>
        <v>-29.073634204275535</v>
      </c>
      <c r="F12" s="118">
        <f t="shared" si="1"/>
        <v>100</v>
      </c>
      <c r="G12" s="159"/>
    </row>
    <row r="13" spans="1:7" ht="12">
      <c r="A13" s="160" t="s">
        <v>511</v>
      </c>
      <c r="B13" s="81">
        <v>11410</v>
      </c>
      <c r="C13" s="81">
        <v>9870</v>
      </c>
      <c r="D13" s="81">
        <v>9337</v>
      </c>
      <c r="E13" s="85">
        <f t="shared" si="0"/>
        <v>22.201992074542144</v>
      </c>
      <c r="F13" s="118">
        <f t="shared" si="1"/>
        <v>115.60283687943263</v>
      </c>
      <c r="G13" s="159"/>
    </row>
    <row r="14" spans="1:7" ht="12">
      <c r="A14" s="160" t="s">
        <v>512</v>
      </c>
      <c r="B14" s="81">
        <v>1315</v>
      </c>
      <c r="C14" s="81">
        <v>1315</v>
      </c>
      <c r="D14" s="81">
        <v>1315</v>
      </c>
      <c r="E14" s="85">
        <f t="shared" si="0"/>
        <v>0</v>
      </c>
      <c r="F14" s="118">
        <f t="shared" si="1"/>
        <v>100</v>
      </c>
      <c r="G14" s="159"/>
    </row>
    <row r="15" spans="1:7" ht="12">
      <c r="A15" s="160" t="s">
        <v>614</v>
      </c>
      <c r="B15" s="81">
        <v>5162</v>
      </c>
      <c r="C15" s="81"/>
      <c r="D15" s="81">
        <v>0</v>
      </c>
      <c r="E15" s="85"/>
      <c r="F15" s="118"/>
      <c r="G15" s="159"/>
    </row>
    <row r="16" spans="1:7" ht="12">
      <c r="A16" s="160" t="s">
        <v>513</v>
      </c>
      <c r="B16" s="81">
        <v>1571</v>
      </c>
      <c r="C16" s="81"/>
      <c r="D16" s="81">
        <v>1599</v>
      </c>
      <c r="E16" s="85">
        <f t="shared" si="0"/>
        <v>-1.7510944340212633</v>
      </c>
      <c r="F16" s="118"/>
      <c r="G16" s="159"/>
    </row>
    <row r="17" spans="1:7" ht="12">
      <c r="A17" s="170" t="s">
        <v>580</v>
      </c>
      <c r="B17" s="81">
        <v>3132</v>
      </c>
      <c r="C17" s="81">
        <v>263</v>
      </c>
      <c r="D17" s="81">
        <v>2157</v>
      </c>
      <c r="E17" s="85">
        <f t="shared" si="0"/>
        <v>45.20166898470097</v>
      </c>
      <c r="F17" s="118">
        <f t="shared" si="1"/>
        <v>1190.874524714829</v>
      </c>
      <c r="G17" s="159"/>
    </row>
    <row r="18" spans="1:7" ht="12">
      <c r="A18" s="170" t="s">
        <v>581</v>
      </c>
      <c r="B18" s="81">
        <v>4451</v>
      </c>
      <c r="C18" s="81"/>
      <c r="D18" s="81">
        <v>2986</v>
      </c>
      <c r="E18" s="85">
        <f t="shared" si="0"/>
        <v>49.06229068988613</v>
      </c>
      <c r="F18" s="118"/>
      <c r="G18" s="159"/>
    </row>
    <row r="19" spans="1:7" ht="12">
      <c r="A19" s="170" t="s">
        <v>615</v>
      </c>
      <c r="B19" s="81">
        <v>4129</v>
      </c>
      <c r="C19" s="81"/>
      <c r="D19" s="81">
        <v>3744</v>
      </c>
      <c r="E19" s="85">
        <f t="shared" si="0"/>
        <v>10.283119658119658</v>
      </c>
      <c r="F19" s="118"/>
      <c r="G19" s="159"/>
    </row>
    <row r="20" spans="1:7" ht="12">
      <c r="A20" s="160" t="s">
        <v>514</v>
      </c>
      <c r="B20" s="81">
        <v>4941</v>
      </c>
      <c r="C20" s="81"/>
      <c r="D20" s="81">
        <v>5534</v>
      </c>
      <c r="E20" s="85">
        <f t="shared" si="0"/>
        <v>-10.715576436573906</v>
      </c>
      <c r="F20" s="118"/>
      <c r="G20" s="159"/>
    </row>
    <row r="21" spans="1:7" ht="12">
      <c r="A21" s="160" t="s">
        <v>515</v>
      </c>
      <c r="B21" s="81"/>
      <c r="C21" s="81"/>
      <c r="D21" s="81">
        <v>700</v>
      </c>
      <c r="E21" s="85">
        <f t="shared" si="0"/>
        <v>-100</v>
      </c>
      <c r="F21" s="118"/>
      <c r="G21" s="159"/>
    </row>
    <row r="22" spans="1:7" ht="12">
      <c r="A22" s="160" t="s">
        <v>516</v>
      </c>
      <c r="B22" s="81">
        <v>8806</v>
      </c>
      <c r="C22" s="81">
        <v>5210</v>
      </c>
      <c r="D22" s="81">
        <v>7828</v>
      </c>
      <c r="E22" s="85">
        <f t="shared" si="0"/>
        <v>12.493612672457843</v>
      </c>
      <c r="F22" s="118">
        <f t="shared" si="1"/>
        <v>169.021113243762</v>
      </c>
      <c r="G22" s="159"/>
    </row>
    <row r="23" spans="1:7" ht="12">
      <c r="A23" s="160" t="s">
        <v>517</v>
      </c>
      <c r="B23" s="81">
        <v>11757</v>
      </c>
      <c r="C23" s="81">
        <v>12206</v>
      </c>
      <c r="D23" s="81">
        <v>12139</v>
      </c>
      <c r="E23" s="85">
        <f t="shared" si="0"/>
        <v>-3.146881950737293</v>
      </c>
      <c r="F23" s="118">
        <f t="shared" si="1"/>
        <v>96.32148123873505</v>
      </c>
      <c r="G23" s="159"/>
    </row>
    <row r="24" spans="1:7" ht="12">
      <c r="A24" s="170" t="s">
        <v>582</v>
      </c>
      <c r="B24" s="81">
        <v>630</v>
      </c>
      <c r="C24" s="81">
        <v>630</v>
      </c>
      <c r="D24" s="81"/>
      <c r="E24" s="85"/>
      <c r="F24" s="118">
        <f t="shared" si="1"/>
        <v>100</v>
      </c>
      <c r="G24" s="159"/>
    </row>
    <row r="25" spans="1:7" ht="12">
      <c r="A25" s="170" t="s">
        <v>616</v>
      </c>
      <c r="B25" s="81">
        <v>10371</v>
      </c>
      <c r="C25" s="81">
        <v>9446</v>
      </c>
      <c r="D25" s="81">
        <v>11946</v>
      </c>
      <c r="E25" s="85">
        <f>(B25-D25)/D25*100</f>
        <v>-13.184329482672025</v>
      </c>
      <c r="F25" s="118">
        <f t="shared" si="1"/>
        <v>109.79250476392124</v>
      </c>
      <c r="G25" s="159"/>
    </row>
    <row r="26" spans="1:7" ht="12">
      <c r="A26" s="170" t="s">
        <v>583</v>
      </c>
      <c r="B26" s="81">
        <v>3125</v>
      </c>
      <c r="C26" s="81"/>
      <c r="D26" s="81"/>
      <c r="E26" s="85"/>
      <c r="F26" s="118"/>
      <c r="G26" s="159"/>
    </row>
    <row r="27" spans="1:7" ht="12">
      <c r="A27" s="160" t="s">
        <v>617</v>
      </c>
      <c r="B27" s="81">
        <v>153</v>
      </c>
      <c r="C27" s="81"/>
      <c r="D27" s="81">
        <v>58</v>
      </c>
      <c r="E27" s="85">
        <f t="shared" si="0"/>
        <v>163.79310344827587</v>
      </c>
      <c r="F27" s="118"/>
      <c r="G27" s="159"/>
    </row>
    <row r="28" spans="1:7" ht="12">
      <c r="A28" s="158" t="s">
        <v>518</v>
      </c>
      <c r="B28" s="80">
        <f>SUM(B29:B48)</f>
        <v>72972</v>
      </c>
      <c r="C28" s="80">
        <f>SUM(C29:C48)</f>
        <v>95747</v>
      </c>
      <c r="D28" s="80">
        <f>SUM(D29:D48)</f>
        <v>64078</v>
      </c>
      <c r="E28" s="85">
        <f t="shared" si="0"/>
        <v>13.879958800212242</v>
      </c>
      <c r="F28" s="118">
        <f t="shared" si="1"/>
        <v>76.21335394320448</v>
      </c>
      <c r="G28" s="159"/>
    </row>
    <row r="29" spans="1:7" ht="12">
      <c r="A29" s="160" t="s">
        <v>519</v>
      </c>
      <c r="B29" s="81">
        <v>278</v>
      </c>
      <c r="C29" s="174">
        <v>391</v>
      </c>
      <c r="D29" s="81">
        <v>122</v>
      </c>
      <c r="E29" s="85">
        <f t="shared" si="0"/>
        <v>127.86885245901641</v>
      </c>
      <c r="F29" s="118">
        <f t="shared" si="1"/>
        <v>71.0997442455243</v>
      </c>
      <c r="G29" s="159"/>
    </row>
    <row r="30" spans="1:7" ht="12">
      <c r="A30" s="160" t="s">
        <v>520</v>
      </c>
      <c r="B30" s="81"/>
      <c r="C30" s="174"/>
      <c r="D30" s="81"/>
      <c r="E30" s="85"/>
      <c r="F30" s="118"/>
      <c r="G30" s="159"/>
    </row>
    <row r="31" spans="1:7" ht="12">
      <c r="A31" s="160" t="s">
        <v>521</v>
      </c>
      <c r="B31" s="81"/>
      <c r="C31" s="174"/>
      <c r="D31" s="81"/>
      <c r="E31" s="85"/>
      <c r="F31" s="118"/>
      <c r="G31" s="159"/>
    </row>
    <row r="32" spans="1:7" ht="12">
      <c r="A32" s="160" t="s">
        <v>522</v>
      </c>
      <c r="B32" s="82">
        <v>155</v>
      </c>
      <c r="C32" s="174">
        <v>1726</v>
      </c>
      <c r="D32" s="82">
        <v>46</v>
      </c>
      <c r="E32" s="85">
        <f t="shared" si="0"/>
        <v>236.9565217391304</v>
      </c>
      <c r="F32" s="118">
        <f t="shared" si="1"/>
        <v>8.980301274623406</v>
      </c>
      <c r="G32" s="159"/>
    </row>
    <row r="33" spans="1:7" ht="12">
      <c r="A33" s="161" t="s">
        <v>523</v>
      </c>
      <c r="B33" s="81">
        <v>6328</v>
      </c>
      <c r="C33" s="175">
        <v>8537</v>
      </c>
      <c r="D33" s="81">
        <v>3411</v>
      </c>
      <c r="E33" s="85">
        <f t="shared" si="0"/>
        <v>85.51744356493697</v>
      </c>
      <c r="F33" s="118">
        <f t="shared" si="1"/>
        <v>74.12439967201593</v>
      </c>
      <c r="G33" s="159"/>
    </row>
    <row r="34" spans="1:7" ht="12">
      <c r="A34" s="160" t="s">
        <v>524</v>
      </c>
      <c r="B34" s="83"/>
      <c r="C34" s="174"/>
      <c r="D34" s="83"/>
      <c r="E34" s="85"/>
      <c r="F34" s="118"/>
      <c r="G34" s="159"/>
    </row>
    <row r="35" spans="1:7" ht="12">
      <c r="A35" s="160" t="s">
        <v>525</v>
      </c>
      <c r="B35" s="81">
        <v>451</v>
      </c>
      <c r="C35" s="174">
        <v>441</v>
      </c>
      <c r="D35" s="81">
        <v>388</v>
      </c>
      <c r="E35" s="85">
        <f t="shared" si="0"/>
        <v>16.237113402061855</v>
      </c>
      <c r="F35" s="118">
        <f t="shared" si="1"/>
        <v>102.26757369614512</v>
      </c>
      <c r="G35" s="159"/>
    </row>
    <row r="36" spans="1:7" ht="12">
      <c r="A36" s="160" t="s">
        <v>526</v>
      </c>
      <c r="B36" s="81">
        <v>5382</v>
      </c>
      <c r="C36" s="174">
        <v>7993</v>
      </c>
      <c r="D36" s="81">
        <v>5467</v>
      </c>
      <c r="E36" s="85">
        <f t="shared" si="0"/>
        <v>-1.5547832449240901</v>
      </c>
      <c r="F36" s="118">
        <f t="shared" si="1"/>
        <v>67.33391717753034</v>
      </c>
      <c r="G36" s="159"/>
    </row>
    <row r="37" spans="1:7" ht="12">
      <c r="A37" s="160" t="s">
        <v>527</v>
      </c>
      <c r="B37" s="81">
        <v>4965</v>
      </c>
      <c r="C37" s="174">
        <v>9863</v>
      </c>
      <c r="D37" s="81">
        <v>5622</v>
      </c>
      <c r="E37" s="85">
        <f t="shared" si="0"/>
        <v>-11.686232657417289</v>
      </c>
      <c r="F37" s="118">
        <f t="shared" si="1"/>
        <v>50.3396532495184</v>
      </c>
      <c r="G37" s="159"/>
    </row>
    <row r="38" spans="1:7" ht="12">
      <c r="A38" s="160" t="s">
        <v>528</v>
      </c>
      <c r="B38" s="81">
        <v>4641</v>
      </c>
      <c r="C38" s="174">
        <v>4736</v>
      </c>
      <c r="D38" s="81">
        <v>2581</v>
      </c>
      <c r="E38" s="85">
        <f t="shared" si="0"/>
        <v>79.81402557148392</v>
      </c>
      <c r="F38" s="118">
        <f t="shared" si="1"/>
        <v>97.99408783783784</v>
      </c>
      <c r="G38" s="159"/>
    </row>
    <row r="39" spans="1:7" ht="12">
      <c r="A39" s="160" t="s">
        <v>529</v>
      </c>
      <c r="B39" s="81">
        <v>5281</v>
      </c>
      <c r="C39" s="174">
        <v>5281</v>
      </c>
      <c r="D39" s="81">
        <v>125</v>
      </c>
      <c r="E39" s="85">
        <f t="shared" si="0"/>
        <v>4124.8</v>
      </c>
      <c r="F39" s="118">
        <f t="shared" si="1"/>
        <v>100</v>
      </c>
      <c r="G39" s="159"/>
    </row>
    <row r="40" spans="1:7" ht="12">
      <c r="A40" s="160" t="s">
        <v>530</v>
      </c>
      <c r="B40" s="81">
        <v>33487</v>
      </c>
      <c r="C40" s="174">
        <v>40171</v>
      </c>
      <c r="D40" s="81">
        <v>35210</v>
      </c>
      <c r="E40" s="85">
        <f t="shared" si="0"/>
        <v>-4.893496165861971</v>
      </c>
      <c r="F40" s="118">
        <f t="shared" si="1"/>
        <v>83.36113116427273</v>
      </c>
      <c r="G40" s="159"/>
    </row>
    <row r="41" spans="1:7" ht="12">
      <c r="A41" s="160" t="s">
        <v>531</v>
      </c>
      <c r="B41" s="81">
        <v>3798</v>
      </c>
      <c r="C41" s="174">
        <v>8708</v>
      </c>
      <c r="D41" s="81">
        <v>8127</v>
      </c>
      <c r="E41" s="85">
        <f t="shared" si="0"/>
        <v>-53.266888150609084</v>
      </c>
      <c r="F41" s="118">
        <f t="shared" si="1"/>
        <v>43.6150666054203</v>
      </c>
      <c r="G41" s="159"/>
    </row>
    <row r="42" spans="1:7" ht="12">
      <c r="A42" s="160" t="s">
        <v>532</v>
      </c>
      <c r="B42" s="81"/>
      <c r="C42" s="174"/>
      <c r="D42" s="81"/>
      <c r="E42" s="85"/>
      <c r="F42" s="118"/>
      <c r="G42" s="159"/>
    </row>
    <row r="43" spans="1:7" ht="12">
      <c r="A43" s="160" t="s">
        <v>533</v>
      </c>
      <c r="B43" s="81">
        <v>150</v>
      </c>
      <c r="C43" s="174">
        <v>19</v>
      </c>
      <c r="D43" s="81">
        <v>31</v>
      </c>
      <c r="E43" s="85">
        <f t="shared" si="0"/>
        <v>383.8709677419355</v>
      </c>
      <c r="F43" s="118">
        <f t="shared" si="1"/>
        <v>789.4736842105262</v>
      </c>
      <c r="G43" s="159"/>
    </row>
    <row r="44" spans="1:7" ht="12">
      <c r="A44" s="160" t="s">
        <v>534</v>
      </c>
      <c r="B44" s="81"/>
      <c r="C44" s="174"/>
      <c r="D44" s="81"/>
      <c r="E44" s="85"/>
      <c r="F44" s="118"/>
      <c r="G44" s="159"/>
    </row>
    <row r="45" spans="1:7" ht="12">
      <c r="A45" s="160" t="s">
        <v>535</v>
      </c>
      <c r="B45" s="81">
        <v>2854</v>
      </c>
      <c r="C45" s="174">
        <v>2709</v>
      </c>
      <c r="D45" s="81">
        <v>223</v>
      </c>
      <c r="E45" s="85">
        <f t="shared" si="0"/>
        <v>1179.8206278026905</v>
      </c>
      <c r="F45" s="118">
        <f t="shared" si="1"/>
        <v>105.35252860834257</v>
      </c>
      <c r="G45" s="159"/>
    </row>
    <row r="46" spans="1:7" ht="12">
      <c r="A46" s="160" t="s">
        <v>536</v>
      </c>
      <c r="B46" s="81">
        <v>5113</v>
      </c>
      <c r="C46" s="174">
        <v>5113</v>
      </c>
      <c r="D46" s="81">
        <v>1661</v>
      </c>
      <c r="E46" s="85">
        <f t="shared" si="0"/>
        <v>207.8266104756171</v>
      </c>
      <c r="F46" s="118">
        <f t="shared" si="1"/>
        <v>100</v>
      </c>
      <c r="G46" s="159"/>
    </row>
    <row r="47" spans="1:7" ht="12">
      <c r="A47" s="160" t="s">
        <v>537</v>
      </c>
      <c r="B47" s="81"/>
      <c r="C47" s="174"/>
      <c r="D47" s="81">
        <v>1039</v>
      </c>
      <c r="E47" s="85">
        <f t="shared" si="0"/>
        <v>-100</v>
      </c>
      <c r="F47" s="118"/>
      <c r="G47" s="159"/>
    </row>
    <row r="48" spans="1:7" ht="12.75" thickBot="1">
      <c r="A48" s="162" t="s">
        <v>538</v>
      </c>
      <c r="B48" s="163">
        <v>89</v>
      </c>
      <c r="C48" s="173">
        <v>59</v>
      </c>
      <c r="D48" s="163">
        <v>25</v>
      </c>
      <c r="E48" s="164">
        <f t="shared" si="0"/>
        <v>256</v>
      </c>
      <c r="F48" s="165">
        <f t="shared" si="1"/>
        <v>150.84745762711864</v>
      </c>
      <c r="G48" s="166"/>
    </row>
  </sheetData>
  <sheetProtection/>
  <mergeCells count="2">
    <mergeCell ref="A2:D2"/>
    <mergeCell ref="A1:G1"/>
  </mergeCells>
  <printOptions horizontalCentered="1"/>
  <pageMargins left="0.7086614173228347" right="0.7086614173228347" top="0.3937007874015748" bottom="0.2362204724409449" header="0.2362204724409449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O11" sqref="O11"/>
    </sheetView>
  </sheetViews>
  <sheetFormatPr defaultColWidth="9.33203125" defaultRowHeight="11.25"/>
  <cols>
    <col min="1" max="1" width="14.16015625" style="79" customWidth="1"/>
    <col min="2" max="4" width="27.5" style="79" customWidth="1"/>
    <col min="5" max="16384" width="9.33203125" style="79" customWidth="1"/>
  </cols>
  <sheetData>
    <row r="1" spans="1:4" ht="49.5" customHeight="1">
      <c r="A1" s="210" t="s">
        <v>561</v>
      </c>
      <c r="B1" s="210"/>
      <c r="C1" s="210"/>
      <c r="D1" s="210"/>
    </row>
    <row r="2" ht="47.25" customHeight="1" thickBot="1">
      <c r="D2" s="86" t="s">
        <v>540</v>
      </c>
    </row>
    <row r="3" spans="1:4" ht="49.5" customHeight="1">
      <c r="A3" s="87" t="s">
        <v>541</v>
      </c>
      <c r="B3" s="88" t="s">
        <v>542</v>
      </c>
      <c r="C3" s="88" t="s">
        <v>543</v>
      </c>
      <c r="D3" s="89" t="s">
        <v>544</v>
      </c>
    </row>
    <row r="4" spans="1:4" ht="49.5" customHeight="1">
      <c r="A4" s="211">
        <v>2017</v>
      </c>
      <c r="B4" s="90" t="s">
        <v>545</v>
      </c>
      <c r="C4" s="178">
        <v>60730.81</v>
      </c>
      <c r="D4" s="176">
        <v>55520</v>
      </c>
    </row>
    <row r="5" spans="1:4" ht="49.5" customHeight="1" thickBot="1">
      <c r="A5" s="212"/>
      <c r="B5" s="91" t="s">
        <v>546</v>
      </c>
      <c r="C5" s="179">
        <f>C4</f>
        <v>60730.81</v>
      </c>
      <c r="D5" s="177">
        <f>D4</f>
        <v>55520</v>
      </c>
    </row>
  </sheetData>
  <sheetProtection/>
  <mergeCells count="2">
    <mergeCell ref="A1:D1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showZeros="0" zoomScaleSheetLayoutView="100" zoomScalePageLayoutView="0" workbookViewId="0" topLeftCell="A1">
      <selection activeCell="L9" sqref="L9"/>
    </sheetView>
  </sheetViews>
  <sheetFormatPr defaultColWidth="9.33203125" defaultRowHeight="11.25"/>
  <cols>
    <col min="1" max="1" width="43.5" style="3" customWidth="1"/>
    <col min="2" max="2" width="19.5" style="3" customWidth="1"/>
    <col min="3" max="3" width="21.33203125" style="3" customWidth="1"/>
    <col min="4" max="4" width="17" style="3" customWidth="1"/>
    <col min="5" max="5" width="18" style="3" customWidth="1"/>
    <col min="6" max="32" width="12" style="3" customWidth="1"/>
    <col min="33" max="16384" width="9.33203125" style="3" customWidth="1"/>
  </cols>
  <sheetData>
    <row r="1" ht="26.25" customHeight="1">
      <c r="A1" s="4"/>
    </row>
    <row r="2" spans="1:5" ht="27">
      <c r="A2" s="213" t="s">
        <v>492</v>
      </c>
      <c r="B2" s="213"/>
      <c r="C2" s="213"/>
      <c r="D2" s="213"/>
      <c r="E2" s="213"/>
    </row>
    <row r="3" spans="1:5" ht="26.25" customHeight="1">
      <c r="A3" s="5"/>
      <c r="E3" s="6" t="s">
        <v>1</v>
      </c>
    </row>
    <row r="4" spans="1:5" s="1" customFormat="1" ht="30" customHeight="1">
      <c r="A4" s="216" t="s">
        <v>493</v>
      </c>
      <c r="B4" s="218" t="s">
        <v>572</v>
      </c>
      <c r="C4" s="218" t="s">
        <v>573</v>
      </c>
      <c r="D4" s="214" t="s">
        <v>574</v>
      </c>
      <c r="E4" s="215"/>
    </row>
    <row r="5" spans="1:5" s="1" customFormat="1" ht="30" customHeight="1">
      <c r="A5" s="217"/>
      <c r="B5" s="219"/>
      <c r="C5" s="219"/>
      <c r="D5" s="181" t="s">
        <v>3</v>
      </c>
      <c r="E5" s="182" t="s">
        <v>494</v>
      </c>
    </row>
    <row r="6" spans="1:5" s="2" customFormat="1" ht="30" customHeight="1">
      <c r="A6" s="7" t="s">
        <v>495</v>
      </c>
      <c r="B6" s="8">
        <f>SUM(B7:B9)</f>
        <v>1649</v>
      </c>
      <c r="C6" s="8">
        <f>SUM(C7:C9)</f>
        <v>1211</v>
      </c>
      <c r="D6" s="8">
        <f>SUM(D7:D9)</f>
        <v>-438</v>
      </c>
      <c r="E6" s="9">
        <f>D6/B6*100</f>
        <v>-26.56155245603396</v>
      </c>
    </row>
    <row r="7" spans="1:5" ht="30" customHeight="1">
      <c r="A7" s="10" t="s">
        <v>496</v>
      </c>
      <c r="B7" s="11"/>
      <c r="C7" s="12"/>
      <c r="D7" s="13">
        <f>C7-B7</f>
        <v>0</v>
      </c>
      <c r="E7" s="9"/>
    </row>
    <row r="8" spans="1:5" ht="30" customHeight="1">
      <c r="A8" s="14" t="s">
        <v>497</v>
      </c>
      <c r="B8" s="12">
        <v>173</v>
      </c>
      <c r="C8" s="12">
        <f>73+92</f>
        <v>165</v>
      </c>
      <c r="D8" s="13">
        <f>C8-B8</f>
        <v>-8</v>
      </c>
      <c r="E8" s="15">
        <f>D8/B8*100</f>
        <v>-4.624277456647398</v>
      </c>
    </row>
    <row r="9" spans="1:5" ht="30" customHeight="1">
      <c r="A9" s="14" t="s">
        <v>498</v>
      </c>
      <c r="B9" s="16">
        <v>1476</v>
      </c>
      <c r="C9" s="16">
        <v>1046</v>
      </c>
      <c r="D9" s="13">
        <f>C9-B9</f>
        <v>-430</v>
      </c>
      <c r="E9" s="15">
        <f>D9/B9*100</f>
        <v>-29.132791327913278</v>
      </c>
    </row>
    <row r="10" spans="1:5" ht="30" customHeight="1">
      <c r="A10" s="14" t="s">
        <v>499</v>
      </c>
      <c r="B10" s="12">
        <v>111</v>
      </c>
      <c r="C10" s="12"/>
      <c r="D10" s="13">
        <f>C10-B10</f>
        <v>-111</v>
      </c>
      <c r="E10" s="9">
        <f>D10/B10*100</f>
        <v>-100</v>
      </c>
    </row>
    <row r="11" spans="1:5" ht="30" customHeight="1">
      <c r="A11" s="17" t="s">
        <v>500</v>
      </c>
      <c r="B11" s="18">
        <v>1365</v>
      </c>
      <c r="C11" s="18">
        <f>350+696</f>
        <v>1046</v>
      </c>
      <c r="D11" s="19">
        <f>C11-B11</f>
        <v>-319</v>
      </c>
      <c r="E11" s="20">
        <f>D11/B11*100</f>
        <v>-23.36996336996337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spans="1:7" ht="29.25" customHeight="1">
      <c r="A47" s="21"/>
      <c r="B47" s="21"/>
      <c r="C47" s="21"/>
      <c r="D47" s="21"/>
      <c r="E47" s="21"/>
      <c r="F47" s="5"/>
      <c r="G47" s="5"/>
    </row>
    <row r="48" spans="1:7" ht="21" customHeight="1">
      <c r="A48" s="21"/>
      <c r="B48" s="21"/>
      <c r="C48" s="21"/>
      <c r="D48" s="21"/>
      <c r="E48" s="21"/>
      <c r="F48" s="5"/>
      <c r="G48" s="5"/>
    </row>
    <row r="49" ht="19.5" customHeight="1">
      <c r="A49" s="21"/>
    </row>
    <row r="50" spans="1:7" ht="18.75" customHeight="1">
      <c r="A50" s="21"/>
      <c r="B50" s="21"/>
      <c r="C50" s="21"/>
      <c r="D50" s="21"/>
      <c r="E50" s="21"/>
      <c r="F50" s="5"/>
      <c r="G50" s="5"/>
    </row>
    <row r="51" spans="1:2" ht="18.75" customHeight="1">
      <c r="A51" s="22"/>
      <c r="B51" s="22"/>
    </row>
    <row r="52" spans="1:2" ht="14.25">
      <c r="A52" s="22"/>
      <c r="B52" s="22"/>
    </row>
    <row r="53" ht="14.25">
      <c r="A53" s="23"/>
    </row>
    <row r="54" ht="14.25">
      <c r="A54" s="24"/>
    </row>
  </sheetData>
  <sheetProtection/>
  <mergeCells count="5">
    <mergeCell ref="A2:E2"/>
    <mergeCell ref="D4:E4"/>
    <mergeCell ref="A4:A5"/>
    <mergeCell ref="B4:B5"/>
    <mergeCell ref="C4:C5"/>
  </mergeCells>
  <printOptions/>
  <pageMargins left="1.62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2018-06-15T01:58:45Z</cp:lastPrinted>
  <dcterms:created xsi:type="dcterms:W3CDTF">2010-04-26T08:10:12Z</dcterms:created>
  <dcterms:modified xsi:type="dcterms:W3CDTF">2018-06-15T02:06:22Z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